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Z:\Series\Serie de Recaudación\"/>
    </mc:Choice>
  </mc:AlternateContent>
  <xr:revisionPtr revIDLastSave="0" documentId="13_ncr:1_{B0572904-7101-4FD1-B83E-B7DCDEBA8F61}" xr6:coauthVersionLast="47" xr6:coauthVersionMax="47" xr10:uidLastSave="{00000000-0000-0000-0000-000000000000}"/>
  <bookViews>
    <workbookView xWindow="28680" yWindow="-210" windowWidth="29040" windowHeight="15720" xr2:uid="{00000000-000D-0000-FFFF-FFFF00000000}"/>
  </bookViews>
  <sheets>
    <sheet name="Mensu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I35" i="1" l="1"/>
  <c r="IJ35" i="1" s="1"/>
  <c r="II15" i="1"/>
  <c r="IJ15" i="1" s="1"/>
  <c r="II14" i="1"/>
  <c r="IJ12" i="1"/>
  <c r="IJ14" i="1"/>
  <c r="IJ16" i="1"/>
  <c r="IJ17" i="1"/>
  <c r="IJ18" i="1"/>
  <c r="IJ19" i="1"/>
  <c r="IJ32" i="1"/>
  <c r="IJ33" i="1"/>
  <c r="IJ34" i="1"/>
  <c r="IJ24" i="1"/>
  <c r="IJ25" i="1"/>
  <c r="IJ27" i="1"/>
  <c r="IJ28" i="1"/>
  <c r="IJ29" i="1"/>
  <c r="IJ23" i="1"/>
  <c r="II26" i="1"/>
  <c r="IJ26" i="1" s="1"/>
  <c r="II22" i="1"/>
  <c r="II21" i="1" s="1"/>
  <c r="IJ21" i="1" s="1"/>
  <c r="II11" i="1"/>
  <c r="IJ11" i="1" s="1"/>
  <c r="IH35" i="1"/>
  <c r="IH15" i="1"/>
  <c r="IH14" i="1"/>
  <c r="IH13" i="1" s="1"/>
  <c r="IH31" i="1"/>
  <c r="IH26" i="1"/>
  <c r="IH22" i="1"/>
  <c r="IH11" i="1"/>
  <c r="IG35" i="1"/>
  <c r="IG15" i="1"/>
  <c r="IG14" i="1"/>
  <c r="IG13" i="1" s="1"/>
  <c r="IG26" i="1"/>
  <c r="IG22" i="1"/>
  <c r="IG11" i="1"/>
  <c r="IF11" i="1"/>
  <c r="IF26" i="1"/>
  <c r="IF22" i="1"/>
  <c r="IE22" i="1"/>
  <c r="IF35" i="1"/>
  <c r="IF31" i="1" s="1"/>
  <c r="IF14" i="1"/>
  <c r="IF15" i="1"/>
  <c r="II31" i="1" l="1"/>
  <c r="IJ31" i="1" s="1"/>
  <c r="IJ22" i="1"/>
  <c r="II13" i="1"/>
  <c r="IJ13" i="1" s="1"/>
  <c r="IH21" i="1"/>
  <c r="IH10" i="1"/>
  <c r="IG10" i="1"/>
  <c r="IF13" i="1"/>
  <c r="IF10" i="1" s="1"/>
  <c r="IG21" i="1"/>
  <c r="IG31" i="1"/>
  <c r="IF21" i="1"/>
  <c r="IE14" i="1"/>
  <c r="IE15" i="1"/>
  <c r="IE13" i="1" s="1"/>
  <c r="IE26" i="1"/>
  <c r="IE21" i="1"/>
  <c r="IE11" i="1"/>
  <c r="IE35" i="1"/>
  <c r="IE31" i="1" s="1"/>
  <c r="ID35" i="1"/>
  <c r="ID31" i="1" s="1"/>
  <c r="ID15" i="1"/>
  <c r="ID14" i="1"/>
  <c r="IC11" i="1"/>
  <c r="ID11" i="1"/>
  <c r="HZ13" i="1"/>
  <c r="IC13" i="1"/>
  <c r="IC31" i="1"/>
  <c r="IC26" i="1"/>
  <c r="ID26" i="1"/>
  <c r="IC22" i="1"/>
  <c r="ID22" i="1"/>
  <c r="II10" i="1" l="1"/>
  <c r="II37" i="1" s="1"/>
  <c r="IJ37" i="1" s="1"/>
  <c r="ID21" i="1"/>
  <c r="IH37" i="1"/>
  <c r="IF37" i="1"/>
  <c r="IG37" i="1"/>
  <c r="IE10" i="1"/>
  <c r="IE37" i="1" s="1"/>
  <c r="IC10" i="1"/>
  <c r="ID13" i="1"/>
  <c r="ID10" i="1" s="1"/>
  <c r="ID37" i="1" s="1"/>
  <c r="IC21" i="1"/>
  <c r="IC37" i="1" s="1"/>
  <c r="IB35" i="1"/>
  <c r="IB22" i="1"/>
  <c r="IB26" i="1"/>
  <c r="IB11" i="1"/>
  <c r="IB14" i="1"/>
  <c r="IB15" i="1"/>
  <c r="IA32" i="1"/>
  <c r="IA33" i="1"/>
  <c r="IA34" i="1"/>
  <c r="IA23" i="1"/>
  <c r="IA24" i="1"/>
  <c r="IA25" i="1"/>
  <c r="IA27" i="1"/>
  <c r="IA28" i="1"/>
  <c r="IA29" i="1"/>
  <c r="IA16" i="1"/>
  <c r="IA17" i="1"/>
  <c r="IA18" i="1"/>
  <c r="IA19" i="1"/>
  <c r="HZ31" i="1"/>
  <c r="HZ26" i="1"/>
  <c r="HZ22" i="1"/>
  <c r="HZ21" i="1" s="1"/>
  <c r="HY22" i="1"/>
  <c r="HZ11" i="1"/>
  <c r="HY13" i="1"/>
  <c r="HY31" i="1"/>
  <c r="HX22" i="1"/>
  <c r="HY26" i="1"/>
  <c r="HX26" i="1"/>
  <c r="HY11" i="1"/>
  <c r="HX11" i="1"/>
  <c r="HX35" i="1"/>
  <c r="HX31" i="1" s="1"/>
  <c r="HX15" i="1"/>
  <c r="HX14" i="1"/>
  <c r="IJ10" i="1" l="1"/>
  <c r="IB13" i="1"/>
  <c r="IB21" i="1"/>
  <c r="HZ10" i="1"/>
  <c r="HZ37" i="1" s="1"/>
  <c r="IB31" i="1"/>
  <c r="HY21" i="1"/>
  <c r="HY10" i="1"/>
  <c r="HX13" i="1"/>
  <c r="HX10" i="1" s="1"/>
  <c r="HX21" i="1"/>
  <c r="HW31" i="1"/>
  <c r="HW26" i="1"/>
  <c r="HW13" i="1"/>
  <c r="HW11" i="1"/>
  <c r="HV35" i="1"/>
  <c r="HW22" i="1"/>
  <c r="IB10" i="1" l="1"/>
  <c r="HY37" i="1"/>
  <c r="HX37" i="1"/>
  <c r="HW10" i="1"/>
  <c r="HW21" i="1"/>
  <c r="HV22" i="1"/>
  <c r="HV26" i="1"/>
  <c r="HV31" i="1"/>
  <c r="HV11" i="1"/>
  <c r="HV14" i="1"/>
  <c r="HV15" i="1"/>
  <c r="CN37" i="1"/>
  <c r="CN28" i="1"/>
  <c r="FA28" i="1"/>
  <c r="EN28" i="1"/>
  <c r="EN27" i="1"/>
  <c r="EN24" i="1"/>
  <c r="EN23" i="1"/>
  <c r="HU26" i="1"/>
  <c r="HU22" i="1"/>
  <c r="HT22" i="1"/>
  <c r="HS22" i="1"/>
  <c r="HR22" i="1"/>
  <c r="HU35" i="1"/>
  <c r="HU31" i="1" s="1"/>
  <c r="HU15" i="1"/>
  <c r="HU11" i="1"/>
  <c r="HU14" i="1"/>
  <c r="HT26" i="1"/>
  <c r="HT31" i="1"/>
  <c r="HT13" i="1"/>
  <c r="HS26" i="1"/>
  <c r="HT11" i="1"/>
  <c r="HS11" i="1"/>
  <c r="HS35" i="1"/>
  <c r="HS31" i="1" s="1"/>
  <c r="HS15" i="1"/>
  <c r="HS14" i="1"/>
  <c r="HQ11" i="1"/>
  <c r="HR11" i="1"/>
  <c r="IB37" i="1" l="1"/>
  <c r="HW37" i="1"/>
  <c r="HS13" i="1"/>
  <c r="HV13" i="1"/>
  <c r="HV10" i="1" s="1"/>
  <c r="HU13" i="1"/>
  <c r="HU10" i="1" s="1"/>
  <c r="HV21" i="1"/>
  <c r="HU21" i="1"/>
  <c r="HT21" i="1"/>
  <c r="HS21" i="1"/>
  <c r="HT10" i="1"/>
  <c r="HS10" i="1"/>
  <c r="HR26" i="1"/>
  <c r="HP26" i="1"/>
  <c r="HQ26" i="1"/>
  <c r="HR31" i="1"/>
  <c r="HV37" i="1" l="1"/>
  <c r="HU37" i="1"/>
  <c r="HT37" i="1"/>
  <c r="HS37" i="1"/>
  <c r="HR21" i="1"/>
  <c r="HQ22" i="1"/>
  <c r="HQ21" i="1" s="1"/>
  <c r="HR13" i="1"/>
  <c r="HR10" i="1" s="1"/>
  <c r="HQ35" i="1"/>
  <c r="HQ31" i="1" s="1"/>
  <c r="HR37" i="1" l="1"/>
  <c r="HQ15" i="1"/>
  <c r="HQ14" i="1"/>
  <c r="HP13" i="1"/>
  <c r="HP11" i="1"/>
  <c r="HP31" i="1"/>
  <c r="HP22" i="1"/>
  <c r="HP21" i="1" s="1"/>
  <c r="HO14" i="1"/>
  <c r="HM22" i="1"/>
  <c r="HO22" i="1"/>
  <c r="HO26" i="1"/>
  <c r="IA26" i="1" s="1"/>
  <c r="HO35" i="1"/>
  <c r="IA35" i="1" s="1"/>
  <c r="HO15" i="1"/>
  <c r="HO11" i="1"/>
  <c r="HN34" i="1"/>
  <c r="HN33" i="1"/>
  <c r="HN32" i="1"/>
  <c r="HN29" i="1"/>
  <c r="HN28" i="1"/>
  <c r="HN27" i="1"/>
  <c r="HN25" i="1"/>
  <c r="HN24" i="1"/>
  <c r="HN23" i="1"/>
  <c r="HN19" i="1"/>
  <c r="HN18" i="1"/>
  <c r="HN17" i="1"/>
  <c r="HN16" i="1"/>
  <c r="HM26" i="1"/>
  <c r="HM15" i="1"/>
  <c r="HM14" i="1"/>
  <c r="HL11" i="1"/>
  <c r="HM11" i="1"/>
  <c r="HK11" i="1"/>
  <c r="HM35" i="1"/>
  <c r="HM31" i="1" s="1"/>
  <c r="HL26" i="1"/>
  <c r="HK26" i="1"/>
  <c r="HL22" i="1"/>
  <c r="HK22" i="1"/>
  <c r="HL31" i="1"/>
  <c r="HL13" i="1"/>
  <c r="HJ22" i="1"/>
  <c r="HK14" i="1"/>
  <c r="HK15" i="1"/>
  <c r="HK35" i="1"/>
  <c r="HK31" i="1" s="1"/>
  <c r="HJ26" i="1"/>
  <c r="HI26" i="1"/>
  <c r="HJ11" i="1"/>
  <c r="HJ35" i="1"/>
  <c r="HJ31" i="1" s="1"/>
  <c r="HJ14" i="1"/>
  <c r="HI15" i="1"/>
  <c r="HJ15" i="1"/>
  <c r="HI35" i="1"/>
  <c r="HI31" i="1" s="1"/>
  <c r="HH11" i="1"/>
  <c r="HI12" i="1"/>
  <c r="HN12" i="1" s="1"/>
  <c r="HH26" i="1"/>
  <c r="HI14" i="1"/>
  <c r="HI22" i="1"/>
  <c r="HH15" i="1"/>
  <c r="HH14" i="1"/>
  <c r="HH22" i="1"/>
  <c r="HH35" i="1"/>
  <c r="HH31" i="1" s="1"/>
  <c r="HG26" i="1"/>
  <c r="HG22" i="1"/>
  <c r="HG13" i="1"/>
  <c r="HG31" i="1"/>
  <c r="HG11" i="1"/>
  <c r="HF11" i="1"/>
  <c r="HF35" i="1"/>
  <c r="HF31" i="1" s="1"/>
  <c r="HF15" i="1"/>
  <c r="HF14" i="1"/>
  <c r="HF26" i="1"/>
  <c r="HF22" i="1"/>
  <c r="HE35" i="1"/>
  <c r="HE31" i="1" s="1"/>
  <c r="HE15" i="1"/>
  <c r="HE14" i="1"/>
  <c r="HE11" i="1"/>
  <c r="HE22" i="1"/>
  <c r="HD22" i="1"/>
  <c r="HE26" i="1"/>
  <c r="HD26" i="1"/>
  <c r="IA11" i="1" l="1"/>
  <c r="HP10" i="1"/>
  <c r="HP37" i="1" s="1"/>
  <c r="IA22" i="1"/>
  <c r="IA15" i="1"/>
  <c r="HE13" i="1"/>
  <c r="HE10" i="1" s="1"/>
  <c r="HQ13" i="1"/>
  <c r="HQ10" i="1" s="1"/>
  <c r="HQ37" i="1" s="1"/>
  <c r="HM13" i="1"/>
  <c r="HM10" i="1" s="1"/>
  <c r="HF21" i="1"/>
  <c r="HL21" i="1"/>
  <c r="HI21" i="1"/>
  <c r="HO21" i="1"/>
  <c r="IA21" i="1" s="1"/>
  <c r="HF13" i="1"/>
  <c r="HF10" i="1" s="1"/>
  <c r="HO31" i="1"/>
  <c r="IA31" i="1" s="1"/>
  <c r="HO13" i="1"/>
  <c r="HK13" i="1"/>
  <c r="HK10" i="1" s="1"/>
  <c r="HL10" i="1"/>
  <c r="HH13" i="1"/>
  <c r="HH10" i="1" s="1"/>
  <c r="HM21" i="1"/>
  <c r="HK21" i="1"/>
  <c r="HI13" i="1"/>
  <c r="HJ13" i="1"/>
  <c r="HJ10" i="1" s="1"/>
  <c r="HH21" i="1"/>
  <c r="HI11" i="1"/>
  <c r="HJ21" i="1"/>
  <c r="HD21" i="1"/>
  <c r="HE21" i="1"/>
  <c r="HG10" i="1"/>
  <c r="HG21" i="1"/>
  <c r="HD35" i="1"/>
  <c r="HD31" i="1" s="1"/>
  <c r="HD11" i="1"/>
  <c r="HD15" i="1"/>
  <c r="HD14" i="1"/>
  <c r="HC11" i="1"/>
  <c r="HC35" i="1"/>
  <c r="HC15" i="1"/>
  <c r="HC14" i="1"/>
  <c r="HC26" i="1"/>
  <c r="HC22" i="1"/>
  <c r="HB13" i="1"/>
  <c r="HB22" i="1"/>
  <c r="GZ22" i="1"/>
  <c r="HB26" i="1"/>
  <c r="HB31" i="1"/>
  <c r="GZ13" i="1"/>
  <c r="GZ31" i="1"/>
  <c r="GZ26" i="1"/>
  <c r="HA32" i="1"/>
  <c r="HA33" i="1"/>
  <c r="HA34" i="1"/>
  <c r="HA23" i="1"/>
  <c r="HA24" i="1"/>
  <c r="HA25" i="1"/>
  <c r="HA27" i="1"/>
  <c r="HA28" i="1"/>
  <c r="HA29" i="1"/>
  <c r="HA12" i="1"/>
  <c r="HA16" i="1"/>
  <c r="HA17" i="1"/>
  <c r="HA18" i="1"/>
  <c r="HA19" i="1"/>
  <c r="GY31" i="1"/>
  <c r="GY22" i="1"/>
  <c r="GY26" i="1"/>
  <c r="GY13" i="1"/>
  <c r="GY10" i="1" s="1"/>
  <c r="IA13" i="1" l="1"/>
  <c r="HL37" i="1"/>
  <c r="HN22" i="1"/>
  <c r="HM37" i="1"/>
  <c r="HE37" i="1"/>
  <c r="HH37" i="1"/>
  <c r="HN26" i="1"/>
  <c r="HK37" i="1"/>
  <c r="HJ37" i="1"/>
  <c r="HI10" i="1"/>
  <c r="HI37" i="1" s="1"/>
  <c r="HN11" i="1"/>
  <c r="HO10" i="1"/>
  <c r="IA10" i="1" s="1"/>
  <c r="HN14" i="1"/>
  <c r="HN15" i="1"/>
  <c r="HN35" i="1"/>
  <c r="HG37" i="1"/>
  <c r="HC13" i="1"/>
  <c r="HF37" i="1"/>
  <c r="HD13" i="1"/>
  <c r="HD10" i="1" s="1"/>
  <c r="HB10" i="1"/>
  <c r="HC31" i="1"/>
  <c r="HN31" i="1" s="1"/>
  <c r="HB21" i="1"/>
  <c r="HC21" i="1"/>
  <c r="GZ10" i="1"/>
  <c r="GY21" i="1"/>
  <c r="GY37" i="1" s="1"/>
  <c r="GZ21" i="1"/>
  <c r="GX31" i="1"/>
  <c r="GX22" i="1"/>
  <c r="GX26" i="1"/>
  <c r="GX15" i="1"/>
  <c r="GX14" i="1"/>
  <c r="GX11" i="1"/>
  <c r="GW15" i="1"/>
  <c r="GW14" i="1"/>
  <c r="GW35" i="1"/>
  <c r="GW31" i="1" s="1"/>
  <c r="GW11" i="1"/>
  <c r="GW22" i="1"/>
  <c r="GW26" i="1"/>
  <c r="GV35" i="1"/>
  <c r="GV31" i="1" s="1"/>
  <c r="GV15" i="1"/>
  <c r="GV14" i="1"/>
  <c r="GV26" i="1"/>
  <c r="GV22" i="1"/>
  <c r="GV11" i="1"/>
  <c r="GU35" i="1"/>
  <c r="GU31" i="1" s="1"/>
  <c r="GU15" i="1"/>
  <c r="GU14" i="1"/>
  <c r="GU11" i="1"/>
  <c r="GU26" i="1"/>
  <c r="GU22" i="1"/>
  <c r="GT31" i="1"/>
  <c r="GT13" i="1"/>
  <c r="GT10" i="1" s="1"/>
  <c r="GS22" i="1"/>
  <c r="GT26" i="1"/>
  <c r="GS26" i="1"/>
  <c r="GT22" i="1"/>
  <c r="GS35" i="1"/>
  <c r="GS31" i="1" s="1"/>
  <c r="GS15" i="1"/>
  <c r="GS14" i="1"/>
  <c r="GS11" i="1"/>
  <c r="HO37" i="1" l="1"/>
  <c r="IA37" i="1" s="1"/>
  <c r="HN13" i="1"/>
  <c r="HN21" i="1"/>
  <c r="GV13" i="1"/>
  <c r="GV10" i="1" s="1"/>
  <c r="HD37" i="1"/>
  <c r="HC10" i="1"/>
  <c r="HN10" i="1" s="1"/>
  <c r="HB37" i="1"/>
  <c r="GX13" i="1"/>
  <c r="GX10" i="1" s="1"/>
  <c r="GZ37" i="1"/>
  <c r="GX21" i="1"/>
  <c r="GW13" i="1"/>
  <c r="GW10" i="1" s="1"/>
  <c r="GW21" i="1"/>
  <c r="GS13" i="1"/>
  <c r="GS10" i="1" s="1"/>
  <c r="GU13" i="1"/>
  <c r="GU10" i="1" s="1"/>
  <c r="GT21" i="1"/>
  <c r="GT37" i="1" s="1"/>
  <c r="GV21" i="1"/>
  <c r="GU21" i="1"/>
  <c r="GS21" i="1"/>
  <c r="HC37" i="1" l="1"/>
  <c r="HN37" i="1" s="1"/>
  <c r="GS37" i="1"/>
  <c r="GX37" i="1"/>
  <c r="GW37" i="1"/>
  <c r="GV37" i="1"/>
  <c r="GU37" i="1"/>
  <c r="GQ13" i="1"/>
  <c r="GP11" i="1"/>
  <c r="GQ11" i="1"/>
  <c r="GQ31" i="1"/>
  <c r="GP26" i="1"/>
  <c r="GQ26" i="1"/>
  <c r="GQ22" i="1"/>
  <c r="GP22" i="1"/>
  <c r="GP15" i="1"/>
  <c r="GP14" i="1"/>
  <c r="GP35" i="1"/>
  <c r="GP31" i="1" s="1"/>
  <c r="GP21" i="1" l="1"/>
  <c r="GQ21" i="1"/>
  <c r="GP13" i="1"/>
  <c r="GP10" i="1" s="1"/>
  <c r="GQ10" i="1"/>
  <c r="GM13" i="1"/>
  <c r="GO35" i="1"/>
  <c r="HA35" i="1" s="1"/>
  <c r="GO15" i="1"/>
  <c r="HA15" i="1" s="1"/>
  <c r="GO14" i="1"/>
  <c r="HA14" i="1" s="1"/>
  <c r="GO26" i="1"/>
  <c r="HA26" i="1" s="1"/>
  <c r="GO22" i="1"/>
  <c r="HA22" i="1" s="1"/>
  <c r="GO11" i="1"/>
  <c r="HA11" i="1" s="1"/>
  <c r="GM35" i="1"/>
  <c r="GM31" i="1" s="1"/>
  <c r="GM11" i="1"/>
  <c r="GM22" i="1"/>
  <c r="GM26" i="1"/>
  <c r="GL13" i="1"/>
  <c r="GL35" i="1"/>
  <c r="GL31" i="1" s="1"/>
  <c r="GL22" i="1"/>
  <c r="GL26" i="1"/>
  <c r="GL11" i="1"/>
  <c r="GK11" i="1"/>
  <c r="CN14" i="1"/>
  <c r="CA14" i="1"/>
  <c r="BN14" i="1"/>
  <c r="BA14" i="1"/>
  <c r="AN14" i="1"/>
  <c r="AA14" i="1"/>
  <c r="N14" i="1"/>
  <c r="FX31" i="1"/>
  <c r="FW31" i="1"/>
  <c r="FV31" i="1"/>
  <c r="FS31" i="1"/>
  <c r="FR31" i="1"/>
  <c r="FQ31" i="1"/>
  <c r="FH31" i="1"/>
  <c r="FG31" i="1"/>
  <c r="FF31" i="1"/>
  <c r="FE31" i="1"/>
  <c r="DM31" i="1"/>
  <c r="DL31" i="1"/>
  <c r="DB31" i="1"/>
  <c r="CZ31" i="1"/>
  <c r="CY31" i="1"/>
  <c r="CX31" i="1"/>
  <c r="CW31" i="1"/>
  <c r="CV31" i="1"/>
  <c r="CU31" i="1"/>
  <c r="CT31" i="1"/>
  <c r="CS31" i="1"/>
  <c r="CR31" i="1"/>
  <c r="CQ31" i="1"/>
  <c r="CP31" i="1"/>
  <c r="CM31" i="1"/>
  <c r="CL31" i="1"/>
  <c r="CK31" i="1"/>
  <c r="CJ31" i="1"/>
  <c r="CI31" i="1"/>
  <c r="CH31" i="1"/>
  <c r="CG31" i="1"/>
  <c r="CF31" i="1"/>
  <c r="CE31" i="1"/>
  <c r="CD31" i="1"/>
  <c r="CC31" i="1"/>
  <c r="CB31" i="1"/>
  <c r="BZ31" i="1"/>
  <c r="BY31" i="1"/>
  <c r="BX31" i="1"/>
  <c r="BW31" i="1"/>
  <c r="BV31" i="1"/>
  <c r="BU31" i="1"/>
  <c r="BT31" i="1"/>
  <c r="BS31" i="1"/>
  <c r="BR31" i="1"/>
  <c r="BQ31" i="1"/>
  <c r="BP31" i="1"/>
  <c r="BO31" i="1"/>
  <c r="BM31" i="1"/>
  <c r="BL31" i="1"/>
  <c r="BK31" i="1"/>
  <c r="BJ31" i="1"/>
  <c r="BI31" i="1"/>
  <c r="BH31" i="1"/>
  <c r="BG31" i="1"/>
  <c r="BF31" i="1"/>
  <c r="BE31" i="1"/>
  <c r="BD31" i="1"/>
  <c r="BC31" i="1"/>
  <c r="BB31" i="1"/>
  <c r="AZ31" i="1"/>
  <c r="AY31" i="1"/>
  <c r="AX31" i="1"/>
  <c r="AW31" i="1"/>
  <c r="AV31" i="1"/>
  <c r="AU31" i="1"/>
  <c r="AT31" i="1"/>
  <c r="AS31" i="1"/>
  <c r="AR31" i="1"/>
  <c r="AQ31" i="1"/>
  <c r="AP31" i="1"/>
  <c r="AO31" i="1"/>
  <c r="AN31" i="1"/>
  <c r="AM31" i="1"/>
  <c r="AL31" i="1"/>
  <c r="AK31" i="1"/>
  <c r="AJ31" i="1"/>
  <c r="AI31" i="1"/>
  <c r="AH31" i="1"/>
  <c r="AG31" i="1"/>
  <c r="AF31" i="1"/>
  <c r="AE31" i="1"/>
  <c r="AD31" i="1"/>
  <c r="AC31" i="1"/>
  <c r="AB31" i="1"/>
  <c r="Z31" i="1"/>
  <c r="Y31" i="1"/>
  <c r="X31" i="1"/>
  <c r="W31" i="1"/>
  <c r="V31" i="1"/>
  <c r="U31" i="1"/>
  <c r="T31" i="1"/>
  <c r="S31" i="1"/>
  <c r="R31" i="1"/>
  <c r="Q31" i="1"/>
  <c r="P31" i="1"/>
  <c r="O31" i="1"/>
  <c r="M31" i="1"/>
  <c r="L31" i="1"/>
  <c r="K31" i="1"/>
  <c r="J31" i="1"/>
  <c r="I31" i="1"/>
  <c r="H31" i="1"/>
  <c r="G31" i="1"/>
  <c r="F31" i="1"/>
  <c r="E31" i="1"/>
  <c r="D31" i="1"/>
  <c r="C31" i="1"/>
  <c r="B31" i="1"/>
  <c r="GC31" i="1"/>
  <c r="GB31" i="1"/>
  <c r="GP37" i="1" l="1"/>
  <c r="GQ37" i="1"/>
  <c r="GO31" i="1"/>
  <c r="HA31" i="1" s="1"/>
  <c r="GL10" i="1"/>
  <c r="GO13" i="1"/>
  <c r="HA13" i="1" s="1"/>
  <c r="GO21" i="1"/>
  <c r="HA21" i="1" s="1"/>
  <c r="GM21" i="1"/>
  <c r="GM10" i="1"/>
  <c r="GL21" i="1"/>
  <c r="GK35" i="1"/>
  <c r="GK31" i="1" s="1"/>
  <c r="GJ35" i="1"/>
  <c r="GJ31" i="1" s="1"/>
  <c r="GI35" i="1"/>
  <c r="GI31" i="1" s="1"/>
  <c r="GH35" i="1"/>
  <c r="GH31" i="1" s="1"/>
  <c r="GG35" i="1"/>
  <c r="GG31" i="1" s="1"/>
  <c r="GF35" i="1"/>
  <c r="GF31" i="1" s="1"/>
  <c r="GE35" i="1"/>
  <c r="GE31" i="1" s="1"/>
  <c r="GD35" i="1"/>
  <c r="GD31" i="1" s="1"/>
  <c r="FZ35" i="1"/>
  <c r="FZ31" i="1" s="1"/>
  <c r="FY35" i="1"/>
  <c r="FY31" i="1" s="1"/>
  <c r="FU35" i="1"/>
  <c r="FU31" i="1" s="1"/>
  <c r="FT35" i="1"/>
  <c r="FT31" i="1" s="1"/>
  <c r="FP35" i="1"/>
  <c r="FP31" i="1" s="1"/>
  <c r="FO35" i="1"/>
  <c r="FM35" i="1"/>
  <c r="FM31" i="1" s="1"/>
  <c r="FL35" i="1"/>
  <c r="FL31" i="1" s="1"/>
  <c r="FK35" i="1"/>
  <c r="FK31" i="1" s="1"/>
  <c r="FJ35" i="1"/>
  <c r="FJ31" i="1" s="1"/>
  <c r="FI35" i="1"/>
  <c r="FI31" i="1" s="1"/>
  <c r="FD35" i="1"/>
  <c r="FD31" i="1" s="1"/>
  <c r="FC35" i="1"/>
  <c r="FC31" i="1" s="1"/>
  <c r="FB35" i="1"/>
  <c r="EZ35" i="1"/>
  <c r="EZ31" i="1" s="1"/>
  <c r="EY35" i="1"/>
  <c r="EY31" i="1" s="1"/>
  <c r="EX35" i="1"/>
  <c r="EX31" i="1" s="1"/>
  <c r="EW35" i="1"/>
  <c r="EW31" i="1" s="1"/>
  <c r="EV35" i="1"/>
  <c r="EV31" i="1" s="1"/>
  <c r="EU35" i="1"/>
  <c r="EU31" i="1" s="1"/>
  <c r="ET35" i="1"/>
  <c r="ET31" i="1" s="1"/>
  <c r="ES35" i="1"/>
  <c r="ES31" i="1" s="1"/>
  <c r="ER35" i="1"/>
  <c r="ER31" i="1" s="1"/>
  <c r="EQ35" i="1"/>
  <c r="EQ31" i="1" s="1"/>
  <c r="EP35" i="1"/>
  <c r="EP31" i="1" s="1"/>
  <c r="EO35" i="1"/>
  <c r="EM35" i="1"/>
  <c r="EM31" i="1" s="1"/>
  <c r="EL35" i="1"/>
  <c r="EL31" i="1" s="1"/>
  <c r="EK35" i="1"/>
  <c r="EK31" i="1" s="1"/>
  <c r="EJ35" i="1"/>
  <c r="EJ31" i="1" s="1"/>
  <c r="EI35" i="1"/>
  <c r="EI31" i="1" s="1"/>
  <c r="EH35" i="1"/>
  <c r="EH31" i="1" s="1"/>
  <c r="EG35" i="1"/>
  <c r="EG31" i="1" s="1"/>
  <c r="EF35" i="1"/>
  <c r="EF31" i="1" s="1"/>
  <c r="EE35" i="1"/>
  <c r="EE31" i="1" s="1"/>
  <c r="ED35" i="1"/>
  <c r="ED31" i="1" s="1"/>
  <c r="EC35" i="1"/>
  <c r="EC31" i="1" s="1"/>
  <c r="EB35" i="1"/>
  <c r="DZ35" i="1"/>
  <c r="DZ31" i="1" s="1"/>
  <c r="DY35" i="1"/>
  <c r="DY31" i="1" s="1"/>
  <c r="DX35" i="1"/>
  <c r="DX31" i="1" s="1"/>
  <c r="DW35" i="1"/>
  <c r="DW31" i="1" s="1"/>
  <c r="DV35" i="1"/>
  <c r="DV31" i="1" s="1"/>
  <c r="DU35" i="1"/>
  <c r="DU31" i="1" s="1"/>
  <c r="DT35" i="1"/>
  <c r="DT31" i="1" s="1"/>
  <c r="DS35" i="1"/>
  <c r="DS31" i="1" s="1"/>
  <c r="DR35" i="1"/>
  <c r="DR31" i="1" s="1"/>
  <c r="DQ35" i="1"/>
  <c r="DQ31" i="1" s="1"/>
  <c r="DP35" i="1"/>
  <c r="DP31" i="1" s="1"/>
  <c r="DO35" i="1"/>
  <c r="DK35" i="1"/>
  <c r="DK31" i="1" s="1"/>
  <c r="DJ35" i="1"/>
  <c r="DJ31" i="1" s="1"/>
  <c r="DI35" i="1"/>
  <c r="DI31" i="1" s="1"/>
  <c r="DH35" i="1"/>
  <c r="DH31" i="1" s="1"/>
  <c r="DG35" i="1"/>
  <c r="DG31" i="1" s="1"/>
  <c r="DF35" i="1"/>
  <c r="DF31" i="1" s="1"/>
  <c r="DE35" i="1"/>
  <c r="DE31" i="1" s="1"/>
  <c r="DD35" i="1"/>
  <c r="DC35" i="1"/>
  <c r="DC31" i="1" s="1"/>
  <c r="CO35" i="1"/>
  <c r="CN35" i="1"/>
  <c r="CA35" i="1"/>
  <c r="BN35" i="1"/>
  <c r="BA35" i="1"/>
  <c r="AA35" i="1"/>
  <c r="N35" i="1"/>
  <c r="GL37" i="1" l="1"/>
  <c r="GO10" i="1"/>
  <c r="HA10" i="1" s="1"/>
  <c r="HA37" i="1" s="1"/>
  <c r="GM37" i="1"/>
  <c r="EA35" i="1"/>
  <c r="DO31" i="1"/>
  <c r="EN35" i="1"/>
  <c r="EB31" i="1"/>
  <c r="FA35" i="1"/>
  <c r="EO31" i="1"/>
  <c r="DA35" i="1"/>
  <c r="CO31" i="1"/>
  <c r="FN35" i="1"/>
  <c r="FB31" i="1"/>
  <c r="DN35" i="1"/>
  <c r="DD31" i="1"/>
  <c r="GA35" i="1"/>
  <c r="FO31" i="1"/>
  <c r="GK26" i="1"/>
  <c r="GK22" i="1"/>
  <c r="GK13" i="1"/>
  <c r="GJ11" i="1"/>
  <c r="GJ26" i="1"/>
  <c r="GJ22" i="1"/>
  <c r="GJ13" i="1"/>
  <c r="GI26" i="1"/>
  <c r="GI22" i="1"/>
  <c r="GI13" i="1"/>
  <c r="GI11" i="1"/>
  <c r="FM13" i="1"/>
  <c r="FL13" i="1"/>
  <c r="FK13" i="1"/>
  <c r="FJ13" i="1"/>
  <c r="FI13" i="1"/>
  <c r="FH13" i="1"/>
  <c r="FG13" i="1"/>
  <c r="FF13" i="1"/>
  <c r="FE13" i="1"/>
  <c r="FD13" i="1"/>
  <c r="FC13" i="1"/>
  <c r="FB13" i="1"/>
  <c r="EZ13" i="1"/>
  <c r="EY13" i="1"/>
  <c r="EX13" i="1"/>
  <c r="EW13" i="1"/>
  <c r="EV13" i="1"/>
  <c r="EU13" i="1"/>
  <c r="ET13" i="1"/>
  <c r="ES13" i="1"/>
  <c r="ER13" i="1"/>
  <c r="EQ13" i="1"/>
  <c r="EP13" i="1"/>
  <c r="EO13" i="1"/>
  <c r="EM13" i="1"/>
  <c r="EL13" i="1"/>
  <c r="EK13" i="1"/>
  <c r="EJ13" i="1"/>
  <c r="EI13" i="1"/>
  <c r="EH13" i="1"/>
  <c r="EG13" i="1"/>
  <c r="EF13" i="1"/>
  <c r="EE13" i="1"/>
  <c r="ED13" i="1"/>
  <c r="EC13" i="1"/>
  <c r="EB13" i="1"/>
  <c r="DZ13" i="1"/>
  <c r="DY13" i="1"/>
  <c r="DX13" i="1"/>
  <c r="DW13" i="1"/>
  <c r="DV13" i="1"/>
  <c r="DU13" i="1"/>
  <c r="DT13" i="1"/>
  <c r="DS13" i="1"/>
  <c r="DR13" i="1"/>
  <c r="DQ13" i="1"/>
  <c r="DP13" i="1"/>
  <c r="DO13" i="1"/>
  <c r="DM13" i="1"/>
  <c r="DL13" i="1"/>
  <c r="DK13" i="1"/>
  <c r="DJ13" i="1"/>
  <c r="DI13" i="1"/>
  <c r="FP13" i="1"/>
  <c r="FO13" i="1"/>
  <c r="GH13" i="1"/>
  <c r="GG13" i="1"/>
  <c r="GF13" i="1"/>
  <c r="GE13" i="1"/>
  <c r="GD13" i="1"/>
  <c r="GC13" i="1"/>
  <c r="GB13" i="1"/>
  <c r="DH13" i="1"/>
  <c r="GA14" i="1"/>
  <c r="FN14" i="1"/>
  <c r="FA14" i="1"/>
  <c r="EN14" i="1"/>
  <c r="EA14" i="1"/>
  <c r="DN14" i="1"/>
  <c r="DA14" i="1"/>
  <c r="GH26" i="1"/>
  <c r="GH22" i="1"/>
  <c r="GH11" i="1"/>
  <c r="GG26" i="1"/>
  <c r="GG22" i="1"/>
  <c r="GG11" i="1"/>
  <c r="GF11" i="1"/>
  <c r="GF22" i="1"/>
  <c r="GF26" i="1"/>
  <c r="GE26" i="1"/>
  <c r="GE22" i="1"/>
  <c r="GE11" i="1"/>
  <c r="GD26" i="1"/>
  <c r="GD22" i="1"/>
  <c r="GD11" i="1"/>
  <c r="GC26" i="1"/>
  <c r="GC22" i="1"/>
  <c r="GC11" i="1"/>
  <c r="GB11" i="1"/>
  <c r="GB26" i="1"/>
  <c r="GB22" i="1"/>
  <c r="GA33" i="1"/>
  <c r="GA32" i="1"/>
  <c r="GA29" i="1"/>
  <c r="GA28" i="1"/>
  <c r="GA27" i="1"/>
  <c r="GA25" i="1"/>
  <c r="GA24" i="1"/>
  <c r="GA23" i="1"/>
  <c r="GA12" i="1"/>
  <c r="GA15" i="1"/>
  <c r="GA16" i="1"/>
  <c r="GA17" i="1"/>
  <c r="GA18" i="1"/>
  <c r="GA19" i="1"/>
  <c r="FZ26" i="1"/>
  <c r="FZ22" i="1"/>
  <c r="FZ13" i="1"/>
  <c r="FZ11" i="1"/>
  <c r="FY26" i="1"/>
  <c r="FY22" i="1"/>
  <c r="FY13" i="1"/>
  <c r="FY11" i="1"/>
  <c r="FX26" i="1"/>
  <c r="FX22" i="1"/>
  <c r="FX13" i="1"/>
  <c r="FX11" i="1"/>
  <c r="FW26" i="1"/>
  <c r="FV26" i="1"/>
  <c r="FV13" i="1"/>
  <c r="FW13" i="1"/>
  <c r="FW22" i="1"/>
  <c r="FW11" i="1"/>
  <c r="FV22" i="1"/>
  <c r="FV11" i="1"/>
  <c r="FU22" i="1"/>
  <c r="GO37" i="1" l="1"/>
  <c r="GK21" i="1"/>
  <c r="GK10" i="1"/>
  <c r="GJ10" i="1"/>
  <c r="GJ21" i="1"/>
  <c r="GI21" i="1"/>
  <c r="GI10" i="1"/>
  <c r="GH21" i="1"/>
  <c r="GH10" i="1"/>
  <c r="GG21" i="1"/>
  <c r="GG10" i="1"/>
  <c r="GF21" i="1"/>
  <c r="GF10" i="1"/>
  <c r="GD10" i="1"/>
  <c r="FZ10" i="1"/>
  <c r="GC10" i="1"/>
  <c r="GE21" i="1"/>
  <c r="GE10" i="1"/>
  <c r="GB10" i="1"/>
  <c r="GD21" i="1"/>
  <c r="GC21" i="1"/>
  <c r="GB21" i="1"/>
  <c r="FX10" i="1"/>
  <c r="FZ21" i="1"/>
  <c r="FY21" i="1"/>
  <c r="FY10" i="1"/>
  <c r="FV10" i="1"/>
  <c r="FX21" i="1"/>
  <c r="FW10" i="1"/>
  <c r="FW21" i="1"/>
  <c r="FV21" i="1"/>
  <c r="FU26" i="1"/>
  <c r="FU21" i="1" s="1"/>
  <c r="FU11" i="1"/>
  <c r="FU13" i="1"/>
  <c r="FT11" i="1"/>
  <c r="FT13" i="1"/>
  <c r="FT22" i="1"/>
  <c r="FT26" i="1"/>
  <c r="FR22" i="1"/>
  <c r="FS22" i="1"/>
  <c r="FS26" i="1"/>
  <c r="FS13" i="1"/>
  <c r="GJ37" i="1" l="1"/>
  <c r="GK37" i="1"/>
  <c r="GI37" i="1"/>
  <c r="FZ37" i="1"/>
  <c r="GD37" i="1"/>
  <c r="GC37" i="1"/>
  <c r="GH37" i="1"/>
  <c r="GG37" i="1"/>
  <c r="GF37" i="1"/>
  <c r="GE37" i="1"/>
  <c r="GB37" i="1"/>
  <c r="FV37" i="1"/>
  <c r="FY37" i="1"/>
  <c r="FX37" i="1"/>
  <c r="FU10" i="1"/>
  <c r="FU37" i="1" s="1"/>
  <c r="FT10" i="1"/>
  <c r="FT21" i="1"/>
  <c r="FS10" i="1"/>
  <c r="FS21" i="1"/>
  <c r="FR26" i="1"/>
  <c r="FR21" i="1" s="1"/>
  <c r="FR13" i="1"/>
  <c r="FR10" i="1" s="1"/>
  <c r="FT37" i="1" l="1"/>
  <c r="FS37" i="1"/>
  <c r="FR37" i="1"/>
  <c r="FQ26" i="1"/>
  <c r="FQ22" i="1"/>
  <c r="FQ21" i="1" l="1"/>
  <c r="FQ11" i="1" l="1"/>
  <c r="FQ13" i="1"/>
  <c r="FQ10" i="1" l="1"/>
  <c r="FQ37" i="1" s="1"/>
  <c r="FP26" i="1"/>
  <c r="FP22" i="1"/>
  <c r="FP11" i="1"/>
  <c r="FP21" i="1" l="1"/>
  <c r="FP10" i="1"/>
  <c r="FN12" i="1"/>
  <c r="FN15" i="1"/>
  <c r="FN16" i="1"/>
  <c r="FN17" i="1"/>
  <c r="FN18" i="1"/>
  <c r="FN19" i="1"/>
  <c r="FN23" i="1"/>
  <c r="FN24" i="1"/>
  <c r="FN25" i="1"/>
  <c r="FN27" i="1"/>
  <c r="FN28" i="1"/>
  <c r="FN29" i="1"/>
  <c r="FN32" i="1"/>
  <c r="FN33" i="1"/>
  <c r="FO26" i="1"/>
  <c r="GA26" i="1" s="1"/>
  <c r="FO22" i="1"/>
  <c r="GA22" i="1" s="1"/>
  <c r="GA13" i="1"/>
  <c r="FO11" i="1"/>
  <c r="GA11" i="1" s="1"/>
  <c r="FN31" i="1" l="1"/>
  <c r="GA31" i="1"/>
  <c r="FN13" i="1"/>
  <c r="FP37" i="1"/>
  <c r="FO10" i="1"/>
  <c r="GA10" i="1" s="1"/>
  <c r="FO21" i="1"/>
  <c r="GA21" i="1" s="1"/>
  <c r="FM26" i="1"/>
  <c r="FM22" i="1"/>
  <c r="FM11" i="1"/>
  <c r="FO37" i="1" l="1"/>
  <c r="FM21" i="1"/>
  <c r="FM10" i="1"/>
  <c r="FL26" i="1"/>
  <c r="FL22" i="1"/>
  <c r="FL11" i="1"/>
  <c r="GA37" i="1" l="1"/>
  <c r="FM37" i="1"/>
  <c r="FL21" i="1"/>
  <c r="FL10" i="1"/>
  <c r="FL37" i="1" l="1"/>
  <c r="FK26" i="1"/>
  <c r="FK22" i="1"/>
  <c r="FK11" i="1"/>
  <c r="FK21" i="1" l="1"/>
  <c r="FK10" i="1"/>
  <c r="FJ26" i="1"/>
  <c r="FJ22" i="1"/>
  <c r="FJ11" i="1"/>
  <c r="FJ21" i="1" l="1"/>
  <c r="FK37" i="1"/>
  <c r="FJ10" i="1"/>
  <c r="FI26" i="1"/>
  <c r="FI22" i="1"/>
  <c r="FI11" i="1"/>
  <c r="FJ37" i="1" l="1"/>
  <c r="FI21" i="1"/>
  <c r="FI10" i="1"/>
  <c r="FH26" i="1"/>
  <c r="FH22" i="1"/>
  <c r="FH11" i="1"/>
  <c r="FH10" i="1" l="1"/>
  <c r="FI37" i="1"/>
  <c r="FH21" i="1"/>
  <c r="FG11" i="1"/>
  <c r="FG26" i="1"/>
  <c r="FG22" i="1"/>
  <c r="FH37" i="1" l="1"/>
  <c r="FG10" i="1"/>
  <c r="FG21" i="1"/>
  <c r="FF26" i="1"/>
  <c r="FF22" i="1"/>
  <c r="FF11" i="1"/>
  <c r="FG37" i="1" l="1"/>
  <c r="FF10" i="1"/>
  <c r="FF21" i="1"/>
  <c r="FE26" i="1"/>
  <c r="FE22" i="1"/>
  <c r="FE11" i="1"/>
  <c r="FF37" i="1" l="1"/>
  <c r="FE10" i="1"/>
  <c r="FE21" i="1"/>
  <c r="FD22" i="1"/>
  <c r="FD26" i="1"/>
  <c r="FD11" i="1"/>
  <c r="FC26" i="1"/>
  <c r="FB26" i="1"/>
  <c r="FC22" i="1"/>
  <c r="FB22" i="1"/>
  <c r="FC11" i="1"/>
  <c r="FB11" i="1"/>
  <c r="EC26" i="1"/>
  <c r="EB26" i="1"/>
  <c r="EC22" i="1"/>
  <c r="EC11" i="1"/>
  <c r="EO11" i="1"/>
  <c r="EP11" i="1"/>
  <c r="EQ11" i="1"/>
  <c r="ER11" i="1"/>
  <c r="ES11" i="1"/>
  <c r="ET11" i="1"/>
  <c r="EU11" i="1"/>
  <c r="EV11" i="1"/>
  <c r="EW11" i="1"/>
  <c r="EX11" i="1"/>
  <c r="EY11" i="1"/>
  <c r="EZ11" i="1"/>
  <c r="FA12" i="1"/>
  <c r="FA15" i="1"/>
  <c r="FA16" i="1"/>
  <c r="FA17" i="1"/>
  <c r="FA18" i="1"/>
  <c r="FA19" i="1"/>
  <c r="EO22" i="1"/>
  <c r="EO26" i="1"/>
  <c r="EP22" i="1"/>
  <c r="EP26" i="1"/>
  <c r="EQ22" i="1"/>
  <c r="EQ26" i="1"/>
  <c r="ER22" i="1"/>
  <c r="ER26" i="1"/>
  <c r="ES22" i="1"/>
  <c r="ES26" i="1"/>
  <c r="ET22" i="1"/>
  <c r="ET26" i="1"/>
  <c r="EU22" i="1"/>
  <c r="EU26" i="1"/>
  <c r="EV22" i="1"/>
  <c r="EV26" i="1"/>
  <c r="EW22" i="1"/>
  <c r="EW26" i="1"/>
  <c r="EX22" i="1"/>
  <c r="EX26" i="1"/>
  <c r="EY22" i="1"/>
  <c r="EY26" i="1"/>
  <c r="EZ22" i="1"/>
  <c r="EZ26" i="1"/>
  <c r="FA23" i="1"/>
  <c r="FA24" i="1"/>
  <c r="FA25" i="1"/>
  <c r="FA27" i="1"/>
  <c r="FA29" i="1"/>
  <c r="FA32" i="1"/>
  <c r="FA33" i="1"/>
  <c r="ED26" i="1"/>
  <c r="ED22" i="1"/>
  <c r="ED11" i="1"/>
  <c r="EE11" i="1"/>
  <c r="EF11" i="1"/>
  <c r="EG11" i="1"/>
  <c r="EH11" i="1"/>
  <c r="EI11" i="1"/>
  <c r="EJ11" i="1"/>
  <c r="EK11" i="1"/>
  <c r="EL11" i="1"/>
  <c r="EM11" i="1"/>
  <c r="EB11" i="1"/>
  <c r="EE22" i="1"/>
  <c r="EF22" i="1"/>
  <c r="EG22" i="1"/>
  <c r="EH22" i="1"/>
  <c r="EI22" i="1"/>
  <c r="EJ22" i="1"/>
  <c r="EK22" i="1"/>
  <c r="EL22" i="1"/>
  <c r="EL26" i="1"/>
  <c r="EM22" i="1"/>
  <c r="EB22" i="1"/>
  <c r="EF26" i="1"/>
  <c r="EG26" i="1"/>
  <c r="EI26" i="1"/>
  <c r="EJ26" i="1"/>
  <c r="EM26" i="1"/>
  <c r="EA12" i="1"/>
  <c r="EN15" i="1"/>
  <c r="EN16" i="1"/>
  <c r="EN17" i="1"/>
  <c r="EN18" i="1"/>
  <c r="EN19" i="1"/>
  <c r="EN25" i="1"/>
  <c r="EN32" i="1"/>
  <c r="EN33" i="1"/>
  <c r="EK29" i="1"/>
  <c r="EK26" i="1" s="1"/>
  <c r="EH29" i="1"/>
  <c r="EH26" i="1" s="1"/>
  <c r="EE29" i="1"/>
  <c r="AA32" i="1"/>
  <c r="AA33" i="1"/>
  <c r="AA22" i="1"/>
  <c r="AA23" i="1"/>
  <c r="AA24" i="1"/>
  <c r="AA25" i="1"/>
  <c r="AA26" i="1"/>
  <c r="AA27" i="1"/>
  <c r="AA29" i="1"/>
  <c r="AA21" i="1"/>
  <c r="AA11" i="1"/>
  <c r="AA12" i="1"/>
  <c r="AA13" i="1"/>
  <c r="AA15" i="1"/>
  <c r="AA16" i="1"/>
  <c r="AA17" i="1"/>
  <c r="AA18" i="1"/>
  <c r="AA19" i="1"/>
  <c r="AA10" i="1"/>
  <c r="DO22" i="1"/>
  <c r="DO26" i="1"/>
  <c r="DO11" i="1"/>
  <c r="DP22" i="1"/>
  <c r="DP26" i="1"/>
  <c r="DP11" i="1"/>
  <c r="DQ22" i="1"/>
  <c r="DQ26" i="1"/>
  <c r="DQ11" i="1"/>
  <c r="DR26" i="1"/>
  <c r="DR21" i="1" s="1"/>
  <c r="DR11" i="1"/>
  <c r="DS22" i="1"/>
  <c r="DS26" i="1"/>
  <c r="DS11" i="1"/>
  <c r="DT22" i="1"/>
  <c r="DT26" i="1"/>
  <c r="DT11" i="1"/>
  <c r="DU22" i="1"/>
  <c r="DU26" i="1"/>
  <c r="DU11" i="1"/>
  <c r="DV22" i="1"/>
  <c r="DV26" i="1"/>
  <c r="DV11" i="1"/>
  <c r="DW22" i="1"/>
  <c r="DW26" i="1"/>
  <c r="DW11" i="1"/>
  <c r="DX22" i="1"/>
  <c r="DX26" i="1"/>
  <c r="DX11" i="1"/>
  <c r="DY22" i="1"/>
  <c r="DY26" i="1"/>
  <c r="DY11" i="1"/>
  <c r="DZ22" i="1"/>
  <c r="DZ26" i="1"/>
  <c r="DZ11" i="1"/>
  <c r="EA33" i="1"/>
  <c r="EA32" i="1"/>
  <c r="EA29" i="1"/>
  <c r="EA27" i="1"/>
  <c r="EA25" i="1"/>
  <c r="EA24" i="1"/>
  <c r="EA23" i="1"/>
  <c r="EA19" i="1"/>
  <c r="EA18" i="1"/>
  <c r="EA17" i="1"/>
  <c r="EA16" i="1"/>
  <c r="EA15" i="1"/>
  <c r="DC22" i="1"/>
  <c r="DC26" i="1"/>
  <c r="DC11" i="1"/>
  <c r="DC10" i="1" s="1"/>
  <c r="DD29" i="1"/>
  <c r="DD22" i="1"/>
  <c r="DD11" i="1"/>
  <c r="DD10" i="1" s="1"/>
  <c r="DE26" i="1"/>
  <c r="DE22" i="1"/>
  <c r="DE13" i="1"/>
  <c r="DE10" i="1" s="1"/>
  <c r="DH22" i="1"/>
  <c r="DH26" i="1"/>
  <c r="DH11" i="1"/>
  <c r="DI22" i="1"/>
  <c r="DI26" i="1"/>
  <c r="DI11" i="1"/>
  <c r="DJ22" i="1"/>
  <c r="DJ26" i="1"/>
  <c r="DJ11" i="1"/>
  <c r="DK22" i="1"/>
  <c r="DK26" i="1"/>
  <c r="DK11" i="1"/>
  <c r="DM22" i="1"/>
  <c r="DM29" i="1"/>
  <c r="DM26" i="1" s="1"/>
  <c r="DM11" i="1"/>
  <c r="DN33" i="1"/>
  <c r="DN32" i="1"/>
  <c r="DL29" i="1"/>
  <c r="DL26" i="1" s="1"/>
  <c r="DN27" i="1"/>
  <c r="DF26" i="1"/>
  <c r="DG26" i="1"/>
  <c r="DN25" i="1"/>
  <c r="DN24" i="1"/>
  <c r="DN23" i="1"/>
  <c r="DF22" i="1"/>
  <c r="DG22" i="1"/>
  <c r="DL22" i="1"/>
  <c r="DN19" i="1"/>
  <c r="DN18" i="1"/>
  <c r="DN17" i="1"/>
  <c r="DN16" i="1"/>
  <c r="DN15" i="1"/>
  <c r="DF13" i="1"/>
  <c r="DN12" i="1"/>
  <c r="DF11" i="1"/>
  <c r="DG11" i="1"/>
  <c r="DG10" i="1" s="1"/>
  <c r="DL11" i="1"/>
  <c r="DA37" i="1"/>
  <c r="DA33" i="1"/>
  <c r="DA32" i="1"/>
  <c r="DA29" i="1"/>
  <c r="DA27" i="1"/>
  <c r="DA26" i="1"/>
  <c r="DA25" i="1"/>
  <c r="DA24" i="1"/>
  <c r="DA23" i="1"/>
  <c r="DA22" i="1"/>
  <c r="DA21" i="1"/>
  <c r="DA19" i="1"/>
  <c r="DA18" i="1"/>
  <c r="DA17" i="1"/>
  <c r="DA16" i="1"/>
  <c r="DA15" i="1"/>
  <c r="DA13" i="1"/>
  <c r="DA12" i="1"/>
  <c r="DA11" i="1"/>
  <c r="DA10" i="1"/>
  <c r="CN33" i="1"/>
  <c r="CN32" i="1"/>
  <c r="CN29" i="1"/>
  <c r="CN27" i="1"/>
  <c r="CN26" i="1"/>
  <c r="CN25" i="1"/>
  <c r="CN24" i="1"/>
  <c r="CN23" i="1"/>
  <c r="CN22" i="1"/>
  <c r="CN21" i="1"/>
  <c r="CN19" i="1"/>
  <c r="CN18" i="1"/>
  <c r="CN17" i="1"/>
  <c r="CN16" i="1"/>
  <c r="CN15" i="1"/>
  <c r="CN13" i="1"/>
  <c r="CN12" i="1"/>
  <c r="CN11" i="1"/>
  <c r="CN10" i="1"/>
  <c r="CA37" i="1"/>
  <c r="CA33" i="1"/>
  <c r="CA32" i="1"/>
  <c r="CA29" i="1"/>
  <c r="CA27" i="1"/>
  <c r="CA26" i="1"/>
  <c r="CA25" i="1"/>
  <c r="CA24" i="1"/>
  <c r="CA23" i="1"/>
  <c r="CA22" i="1"/>
  <c r="CA21" i="1"/>
  <c r="CA19" i="1"/>
  <c r="CA18" i="1"/>
  <c r="CA17" i="1"/>
  <c r="CA16" i="1"/>
  <c r="CA15" i="1"/>
  <c r="CA13" i="1"/>
  <c r="CA12" i="1"/>
  <c r="CA11" i="1"/>
  <c r="CA10" i="1"/>
  <c r="BN37" i="1"/>
  <c r="BN33" i="1"/>
  <c r="BN32" i="1"/>
  <c r="BN29" i="1"/>
  <c r="BN27" i="1"/>
  <c r="BN26" i="1"/>
  <c r="BN25" i="1"/>
  <c r="BN24" i="1"/>
  <c r="BN23" i="1"/>
  <c r="BN22" i="1"/>
  <c r="BN21" i="1"/>
  <c r="BN19" i="1"/>
  <c r="BN18" i="1"/>
  <c r="BN17" i="1"/>
  <c r="BN16" i="1"/>
  <c r="BN15" i="1"/>
  <c r="BN13" i="1"/>
  <c r="BN12" i="1"/>
  <c r="BN11" i="1"/>
  <c r="BN10" i="1"/>
  <c r="BA37" i="1"/>
  <c r="BA33" i="1"/>
  <c r="BA32" i="1"/>
  <c r="BA29" i="1"/>
  <c r="BA27" i="1"/>
  <c r="BA26" i="1"/>
  <c r="BA25" i="1"/>
  <c r="BA24" i="1"/>
  <c r="BA23" i="1"/>
  <c r="BA22" i="1"/>
  <c r="BA21" i="1"/>
  <c r="BA19" i="1"/>
  <c r="BA18" i="1"/>
  <c r="BA17" i="1"/>
  <c r="BA16" i="1"/>
  <c r="BA15" i="1"/>
  <c r="BA13" i="1"/>
  <c r="BA12" i="1"/>
  <c r="BA11" i="1"/>
  <c r="BA10" i="1"/>
  <c r="N11" i="1"/>
  <c r="N12" i="1"/>
  <c r="N13" i="1"/>
  <c r="N15" i="1"/>
  <c r="N16" i="1"/>
  <c r="N17" i="1"/>
  <c r="N18" i="1"/>
  <c r="N19" i="1"/>
  <c r="N21" i="1"/>
  <c r="N22" i="1"/>
  <c r="N23" i="1"/>
  <c r="N24" i="1"/>
  <c r="N25" i="1"/>
  <c r="N26" i="1"/>
  <c r="N27" i="1"/>
  <c r="N29" i="1"/>
  <c r="N32" i="1"/>
  <c r="N33" i="1"/>
  <c r="N37" i="1"/>
  <c r="N10" i="1"/>
  <c r="AA37" i="1"/>
  <c r="EN12" i="1"/>
  <c r="EN11" i="1" s="1"/>
  <c r="CN31" i="1" l="1"/>
  <c r="EE26" i="1"/>
  <c r="EN29" i="1"/>
  <c r="EN26" i="1" s="1"/>
  <c r="DN31" i="1"/>
  <c r="EA31" i="1"/>
  <c r="BN31" i="1"/>
  <c r="DA31" i="1"/>
  <c r="EN31" i="1"/>
  <c r="BA31" i="1"/>
  <c r="FA31" i="1"/>
  <c r="N31" i="1"/>
  <c r="AA31" i="1"/>
  <c r="CA31" i="1"/>
  <c r="FA13" i="1"/>
  <c r="EN13" i="1"/>
  <c r="EN10" i="1" s="1"/>
  <c r="DN13" i="1"/>
  <c r="EA13" i="1"/>
  <c r="DO10" i="1"/>
  <c r="EH10" i="1"/>
  <c r="DO21" i="1"/>
  <c r="EV10" i="1"/>
  <c r="EZ10" i="1"/>
  <c r="DQ21" i="1"/>
  <c r="EH21" i="1"/>
  <c r="DV10" i="1"/>
  <c r="DQ10" i="1"/>
  <c r="DZ10" i="1"/>
  <c r="DZ21" i="1"/>
  <c r="ET21" i="1"/>
  <c r="DH21" i="1"/>
  <c r="DY21" i="1"/>
  <c r="EC21" i="1"/>
  <c r="EM21" i="1"/>
  <c r="DJ21" i="1"/>
  <c r="DE21" i="1"/>
  <c r="DE37" i="1" s="1"/>
  <c r="EI10" i="1"/>
  <c r="DI10" i="1"/>
  <c r="EV21" i="1"/>
  <c r="EP21" i="1"/>
  <c r="EY10" i="1"/>
  <c r="EF10" i="1"/>
  <c r="FN26" i="1"/>
  <c r="ER10" i="1"/>
  <c r="ES10" i="1"/>
  <c r="ER21" i="1"/>
  <c r="EQ10" i="1"/>
  <c r="DF10" i="1"/>
  <c r="DS10" i="1"/>
  <c r="EO10" i="1"/>
  <c r="DM10" i="1"/>
  <c r="DH10" i="1"/>
  <c r="EJ10" i="1"/>
  <c r="DP10" i="1"/>
  <c r="FN11" i="1"/>
  <c r="EG21" i="1"/>
  <c r="DT10" i="1"/>
  <c r="EN22" i="1"/>
  <c r="EB10" i="1"/>
  <c r="FB10" i="1"/>
  <c r="EM10" i="1"/>
  <c r="EW10" i="1"/>
  <c r="FN22" i="1"/>
  <c r="DX21" i="1"/>
  <c r="DV21" i="1"/>
  <c r="EK21" i="1"/>
  <c r="EA11" i="1"/>
  <c r="EA26" i="1"/>
  <c r="DP21" i="1"/>
  <c r="EE21" i="1"/>
  <c r="ES21" i="1"/>
  <c r="EO21" i="1"/>
  <c r="FC10" i="1"/>
  <c r="DK21" i="1"/>
  <c r="DW10" i="1"/>
  <c r="DU10" i="1"/>
  <c r="DS21" i="1"/>
  <c r="EF21" i="1"/>
  <c r="EZ21" i="1"/>
  <c r="DT21" i="1"/>
  <c r="DR10" i="1"/>
  <c r="DR37" i="1" s="1"/>
  <c r="EI21" i="1"/>
  <c r="EK10" i="1"/>
  <c r="EU21" i="1"/>
  <c r="EQ21" i="1"/>
  <c r="FD21" i="1"/>
  <c r="DN22" i="1"/>
  <c r="DL10" i="1"/>
  <c r="DF21" i="1"/>
  <c r="DG21" i="1"/>
  <c r="DK10" i="1"/>
  <c r="DX10" i="1"/>
  <c r="DW21" i="1"/>
  <c r="EL21" i="1"/>
  <c r="EE10" i="1"/>
  <c r="EX21" i="1"/>
  <c r="FA26" i="1"/>
  <c r="EX10" i="1"/>
  <c r="ET10" i="1"/>
  <c r="EP10" i="1"/>
  <c r="EC10" i="1"/>
  <c r="DN29" i="1"/>
  <c r="EB21" i="1"/>
  <c r="FA11" i="1"/>
  <c r="FB21" i="1"/>
  <c r="DM21" i="1"/>
  <c r="DC21" i="1"/>
  <c r="DC37" i="1" s="1"/>
  <c r="DL21" i="1"/>
  <c r="DJ10" i="1"/>
  <c r="DI21" i="1"/>
  <c r="DD26" i="1"/>
  <c r="DD21" i="1" s="1"/>
  <c r="DD37" i="1" s="1"/>
  <c r="DY10" i="1"/>
  <c r="DU21" i="1"/>
  <c r="EJ21" i="1"/>
  <c r="EL10" i="1"/>
  <c r="ED10" i="1"/>
  <c r="EG10" i="1"/>
  <c r="ED21" i="1"/>
  <c r="EY21" i="1"/>
  <c r="EW21" i="1"/>
  <c r="EU10" i="1"/>
  <c r="FC21" i="1"/>
  <c r="FE37" i="1"/>
  <c r="FA22" i="1"/>
  <c r="EA22" i="1"/>
  <c r="DN11" i="1"/>
  <c r="FD10" i="1"/>
  <c r="EN21" i="1" l="1"/>
  <c r="DT37" i="1"/>
  <c r="EZ37" i="1"/>
  <c r="DO37" i="1"/>
  <c r="EH37" i="1"/>
  <c r="ET37" i="1"/>
  <c r="EY37" i="1"/>
  <c r="DZ37" i="1"/>
  <c r="DM37" i="1"/>
  <c r="EF37" i="1"/>
  <c r="EV37" i="1"/>
  <c r="EC37" i="1"/>
  <c r="ER37" i="1"/>
  <c r="DH37" i="1"/>
  <c r="EO37" i="1"/>
  <c r="DQ37" i="1"/>
  <c r="EG37" i="1"/>
  <c r="DV37" i="1"/>
  <c r="DN26" i="1"/>
  <c r="DY37" i="1"/>
  <c r="ES37" i="1"/>
  <c r="EK37" i="1"/>
  <c r="EI37" i="1"/>
  <c r="DS37" i="1"/>
  <c r="EP37" i="1"/>
  <c r="DI37" i="1"/>
  <c r="EB37" i="1"/>
  <c r="DW37" i="1"/>
  <c r="EW37" i="1"/>
  <c r="DX37" i="1"/>
  <c r="EQ37" i="1"/>
  <c r="FN10" i="1"/>
  <c r="EM37" i="1"/>
  <c r="DK37" i="1"/>
  <c r="DP37" i="1"/>
  <c r="EJ37" i="1"/>
  <c r="FB37" i="1"/>
  <c r="FN21" i="1"/>
  <c r="FA10" i="1"/>
  <c r="EE37" i="1"/>
  <c r="FA21" i="1"/>
  <c r="EU37" i="1"/>
  <c r="FC37" i="1"/>
  <c r="DN21" i="1"/>
  <c r="EL37" i="1"/>
  <c r="DU37" i="1"/>
  <c r="DN10" i="1"/>
  <c r="EA10" i="1"/>
  <c r="DJ37" i="1"/>
  <c r="EA21" i="1"/>
  <c r="ED37" i="1"/>
  <c r="EX37" i="1"/>
  <c r="FD37" i="1"/>
  <c r="EN37" i="1" l="1"/>
  <c r="EC38" i="1"/>
  <c r="ET38" i="1"/>
  <c r="EY38" i="1"/>
  <c r="EB40" i="1"/>
  <c r="EA37" i="1"/>
  <c r="FN37" i="1"/>
  <c r="DN37" i="1"/>
  <c r="FA37" i="1"/>
  <c r="EG39" i="1"/>
  <c r="IA14" i="1" l="1"/>
  <c r="IA12" i="1"/>
</calcChain>
</file>

<file path=xl/sharedStrings.xml><?xml version="1.0" encoding="utf-8"?>
<sst xmlns="http://schemas.openxmlformats.org/spreadsheetml/2006/main" count="276" uniqueCount="55">
  <si>
    <t>PARTIDAS</t>
  </si>
  <si>
    <t>TOTAL
2008</t>
  </si>
  <si>
    <t>TOTAL
2009</t>
  </si>
  <si>
    <t>TOTAL
2010</t>
  </si>
  <si>
    <t>TOTAL
2011</t>
  </si>
  <si>
    <t>TOTAL
2012</t>
  </si>
  <si>
    <t>TOTAL
2013</t>
  </si>
  <si>
    <t>TOTAL
2014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</si>
  <si>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</si>
  <si>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</si>
  <si>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</si>
  <si>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</si>
  <si>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</si>
  <si>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</si>
  <si>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</si>
  <si>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</si>
  <si>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</si>
  <si>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</si>
  <si>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</si>
  <si>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</si>
  <si>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IMPUESTOS INTERNOS SOBRE MERCANCIAS Y SERVICIOS</t>
  </si>
  <si>
    <t>- Impuestos sobre los Bienes y Servicios</t>
  </si>
  <si>
    <t>- Impuestos Transferencias de Bienes Industrializados y Servicios</t>
  </si>
  <si>
    <t>- Impuestos Adicionales y Selectivos sobre Bienes y Servicios</t>
  </si>
  <si>
    <t>- Impuestos Selectivos a Productos Derivados del Alcohol</t>
  </si>
  <si>
    <t>- Impuesto Selectivo al Tabaco y los Cigarrillos</t>
  </si>
  <si>
    <t>- Impuesto Selectivo a las demás Mercancías</t>
  </si>
  <si>
    <t>- Vehículos de Motor</t>
  </si>
  <si>
    <t>IMPUESTOS SOBRE EL COMERCIO Y LAS TRANSACCIONES/COMERCIO EXTERIOR</t>
  </si>
  <si>
    <t>- Impuestos sobre las Importaciones</t>
  </si>
  <si>
    <t>- Impuestos Arancelarios</t>
  </si>
  <si>
    <t>- Subasta contingentes arancelarios</t>
  </si>
  <si>
    <t>- Impuestos sobre las Exportaciones</t>
  </si>
  <si>
    <t>- Otros Impuestos sobre el Comercio Exterior</t>
  </si>
  <si>
    <t>- Salida de Pasajeros por la Región Fronteriza</t>
  </si>
  <si>
    <t>OTROS</t>
  </si>
  <si>
    <t>-  Contribución Zonas Francas</t>
  </si>
  <si>
    <t>-  Venta de Formularios de Aduanas</t>
  </si>
  <si>
    <t>TOTAL</t>
  </si>
  <si>
    <t xml:space="preserve">Octubre </t>
  </si>
  <si>
    <t>Fuente: Dirección General de Aduanas.</t>
  </si>
  <si>
    <t xml:space="preserve">Febrero </t>
  </si>
  <si>
    <t>Total</t>
  </si>
  <si>
    <t xml:space="preserve"> </t>
  </si>
  <si>
    <t>- Regalía Exportación Minerales (5%)</t>
  </si>
  <si>
    <t>- Impuestos sobre mercancías declaradas en depósitos</t>
  </si>
  <si>
    <t>-  Avance futuras aplicaciones y sobrante de caja</t>
  </si>
  <si>
    <t>- Recargos por moras, multas y sanciones sobre mercancías</t>
  </si>
  <si>
    <t xml:space="preserve">         DIRECCIÓN GENERAL DE ADUANAS</t>
  </si>
  <si>
    <t xml:space="preserve">         RECAUDACIÓN MENSUAL FONDO 100</t>
  </si>
  <si>
    <t>- Impuesto adicional RD$2.00 Gasoil/Gasolina Premium/Regular</t>
  </si>
  <si>
    <t>-  Valores Incautados</t>
  </si>
  <si>
    <t xml:space="preserve">         Valores expresados en millones de pesos dominicanos</t>
  </si>
  <si>
    <t xml:space="preserve">         Enero 2008 - agosto 2026</t>
  </si>
  <si>
    <t>*Informe preliminar a agosto 2026, datos suminitrados por la Gerencia Financiera.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</si>
</sst>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3" formatCode="_(* #,##0.00_);_(* \(#,##0.00\);_(* &quot;-&quot;??_);_(@_)"/>
    <numFmt numFmtId="164" formatCode="_-* #,##0.00_-;\-* #,##0.00_-;_-* &quot;-&quot;??_-;_-@_-"/>
    <numFmt numFmtId="165" formatCode="_-* #,##0.00\ _€_-;\-* #,##0.00\ _€_-;_-* &quot;-&quot;??\ _€_-;_-@_-"/>
    <numFmt numFmtId="166" formatCode="#,##0.0_);\(#,##0.0\)"/>
    <numFmt numFmtId="167" formatCode="#,##0.0,,"/>
    <numFmt numFmtId="168" formatCode="#,##0.00,,"/>
    <numFmt numFmtId="169" formatCode="_([$€]* #,##0.00_);_([$€]* \(#,##0.00\);_([$€]* &quot;-&quot;??_);_(@_)"/>
    <numFmt numFmtId="170" formatCode="#,##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ourier"/>
      <family val="3"/>
    </font>
    <font>
      <sz val="10"/>
      <name val="Arial"/>
      <family val="2"/>
    </font>
    <font>
      <b/>
      <sz val="12"/>
      <color indexed="8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name val="Arial"/>
      <family val="2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4"/>
      <color theme="3" tint="-0.249977111117893"/>
      <name val="Calibri"/>
      <family val="2"/>
      <scheme val="minor"/>
    </font>
    <font>
      <b/>
      <sz val="12"/>
      <color theme="3" tint="-0.249977111117893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/>
      <right style="thick">
        <color theme="0"/>
      </right>
      <top/>
      <bottom/>
      <diagonal/>
    </border>
    <border>
      <left/>
      <right style="medium">
        <color theme="0"/>
      </right>
      <top/>
      <bottom/>
      <diagonal/>
    </border>
    <border>
      <left style="thick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theme="0"/>
      </bottom>
      <diagonal/>
    </border>
    <border>
      <left/>
      <right style="thick">
        <color theme="0"/>
      </right>
      <top style="thick">
        <color theme="0"/>
      </top>
      <bottom/>
      <diagonal/>
    </border>
    <border>
      <left/>
      <right/>
      <top style="thick">
        <color theme="0"/>
      </top>
      <bottom/>
      <diagonal/>
    </border>
  </borders>
  <cellStyleXfs count="41">
    <xf numFmtId="0" fontId="0" fillId="0" borderId="0"/>
    <xf numFmtId="165" fontId="1" fillId="0" borderId="0" applyFont="0" applyFill="0" applyBorder="0" applyAlignment="0" applyProtection="0"/>
    <xf numFmtId="39" fontId="2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20" fillId="0" borderId="0"/>
    <xf numFmtId="169" fontId="2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06">
    <xf numFmtId="0" fontId="0" fillId="0" borderId="0" xfId="0"/>
    <xf numFmtId="0" fontId="0" fillId="2" borderId="0" xfId="0" applyFill="1"/>
    <xf numFmtId="165" fontId="0" fillId="2" borderId="0" xfId="0" applyNumberFormat="1" applyFill="1"/>
    <xf numFmtId="167" fontId="0" fillId="2" borderId="0" xfId="0" applyNumberFormat="1" applyFill="1"/>
    <xf numFmtId="49" fontId="4" fillId="2" borderId="0" xfId="2" applyNumberFormat="1" applyFont="1" applyFill="1" applyAlignment="1">
      <alignment horizontal="left" indent="1"/>
    </xf>
    <xf numFmtId="0" fontId="7" fillId="2" borderId="0" xfId="3" applyFont="1" applyFill="1" applyAlignment="1">
      <alignment horizontal="left" indent="2"/>
    </xf>
    <xf numFmtId="49" fontId="4" fillId="2" borderId="0" xfId="3" applyNumberFormat="1" applyFont="1" applyFill="1" applyAlignment="1">
      <alignment horizontal="left" indent="1"/>
    </xf>
    <xf numFmtId="49" fontId="8" fillId="2" borderId="0" xfId="2" applyNumberFormat="1" applyFont="1" applyFill="1" applyAlignment="1">
      <alignment horizontal="left" indent="2"/>
    </xf>
    <xf numFmtId="166" fontId="4" fillId="2" borderId="0" xfId="2" applyNumberFormat="1" applyFont="1" applyFill="1" applyAlignment="1">
      <alignment horizontal="left" indent="1"/>
    </xf>
    <xf numFmtId="49" fontId="8" fillId="2" borderId="0" xfId="3" applyNumberFormat="1" applyFont="1" applyFill="1" applyAlignment="1">
      <alignment horizontal="left" indent="2"/>
    </xf>
    <xf numFmtId="49" fontId="7" fillId="2" borderId="0" xfId="3" applyNumberFormat="1" applyFont="1" applyFill="1" applyAlignment="1">
      <alignment horizontal="left" indent="2"/>
    </xf>
    <xf numFmtId="0" fontId="10" fillId="2" borderId="0" xfId="0" applyFont="1" applyFill="1"/>
    <xf numFmtId="0" fontId="12" fillId="2" borderId="0" xfId="0" applyFont="1" applyFill="1" applyAlignment="1">
      <alignment horizontal="left" indent="20"/>
    </xf>
    <xf numFmtId="0" fontId="13" fillId="2" borderId="0" xfId="0" applyFont="1" applyFill="1" applyAlignment="1">
      <alignment horizontal="left" indent="20"/>
    </xf>
    <xf numFmtId="0" fontId="14" fillId="2" borderId="0" xfId="0" applyFont="1" applyFill="1" applyAlignment="1">
      <alignment horizontal="left" indent="20"/>
    </xf>
    <xf numFmtId="0" fontId="0" fillId="3" borderId="0" xfId="0" applyFill="1"/>
    <xf numFmtId="167" fontId="16" fillId="2" borderId="6" xfId="1" applyNumberFormat="1" applyFont="1" applyFill="1" applyBorder="1"/>
    <xf numFmtId="167" fontId="16" fillId="2" borderId="0" xfId="1" applyNumberFormat="1" applyFont="1" applyFill="1" applyBorder="1"/>
    <xf numFmtId="167" fontId="17" fillId="2" borderId="6" xfId="1" applyNumberFormat="1" applyFont="1" applyFill="1" applyBorder="1"/>
    <xf numFmtId="167" fontId="17" fillId="2" borderId="0" xfId="1" applyNumberFormat="1" applyFont="1" applyFill="1" applyBorder="1"/>
    <xf numFmtId="167" fontId="16" fillId="2" borderId="6" xfId="0" applyNumberFormat="1" applyFont="1" applyFill="1" applyBorder="1"/>
    <xf numFmtId="167" fontId="16" fillId="2" borderId="0" xfId="0" applyNumberFormat="1" applyFont="1" applyFill="1"/>
    <xf numFmtId="167" fontId="17" fillId="2" borderId="6" xfId="0" applyNumberFormat="1" applyFont="1" applyFill="1" applyBorder="1"/>
    <xf numFmtId="167" fontId="17" fillId="2" borderId="0" xfId="0" applyNumberFormat="1" applyFont="1" applyFill="1"/>
    <xf numFmtId="0" fontId="9" fillId="5" borderId="0" xfId="0" applyFont="1" applyFill="1"/>
    <xf numFmtId="167" fontId="16" fillId="5" borderId="6" xfId="0" applyNumberFormat="1" applyFont="1" applyFill="1" applyBorder="1"/>
    <xf numFmtId="167" fontId="16" fillId="5" borderId="0" xfId="0" applyNumberFormat="1" applyFont="1" applyFill="1"/>
    <xf numFmtId="167" fontId="16" fillId="5" borderId="0" xfId="1" applyNumberFormat="1" applyFont="1" applyFill="1" applyBorder="1"/>
    <xf numFmtId="0" fontId="6" fillId="3" borderId="0" xfId="0" applyFont="1" applyFill="1" applyAlignment="1">
      <alignment horizontal="center"/>
    </xf>
    <xf numFmtId="167" fontId="6" fillId="3" borderId="8" xfId="0" applyNumberFormat="1" applyFont="1" applyFill="1" applyBorder="1"/>
    <xf numFmtId="165" fontId="15" fillId="4" borderId="4" xfId="1" applyFont="1" applyFill="1" applyBorder="1" applyAlignment="1">
      <alignment horizontal="center"/>
    </xf>
    <xf numFmtId="165" fontId="15" fillId="4" borderId="1" xfId="1" applyFont="1" applyFill="1" applyBorder="1" applyAlignment="1">
      <alignment horizontal="center"/>
    </xf>
    <xf numFmtId="49" fontId="4" fillId="5" borderId="0" xfId="2" applyNumberFormat="1" applyFont="1" applyFill="1"/>
    <xf numFmtId="0" fontId="15" fillId="4" borderId="7" xfId="0" applyFont="1" applyFill="1" applyBorder="1" applyAlignment="1">
      <alignment horizontal="center" wrapText="1"/>
    </xf>
    <xf numFmtId="167" fontId="16" fillId="4" borderId="10" xfId="0" applyNumberFormat="1" applyFont="1" applyFill="1" applyBorder="1"/>
    <xf numFmtId="4" fontId="0" fillId="2" borderId="0" xfId="0" applyNumberFormat="1" applyFill="1"/>
    <xf numFmtId="165" fontId="0" fillId="2" borderId="0" xfId="1" applyFont="1" applyFill="1"/>
    <xf numFmtId="49" fontId="7" fillId="2" borderId="11" xfId="3" applyNumberFormat="1" applyFont="1" applyFill="1" applyBorder="1" applyAlignment="1">
      <alignment horizontal="left" indent="2"/>
    </xf>
    <xf numFmtId="43" fontId="0" fillId="2" borderId="0" xfId="0" applyNumberFormat="1" applyFill="1"/>
    <xf numFmtId="168" fontId="0" fillId="2" borderId="0" xfId="0" applyNumberFormat="1" applyFill="1"/>
    <xf numFmtId="168" fontId="0" fillId="2" borderId="0" xfId="1" applyNumberFormat="1" applyFont="1" applyFill="1"/>
    <xf numFmtId="165" fontId="0" fillId="3" borderId="0" xfId="1" applyFont="1" applyFill="1"/>
    <xf numFmtId="167" fontId="6" fillId="3" borderId="8" xfId="1" applyNumberFormat="1" applyFont="1" applyFill="1" applyBorder="1"/>
    <xf numFmtId="167" fontId="6" fillId="3" borderId="10" xfId="1" applyNumberFormat="1" applyFont="1" applyFill="1" applyBorder="1"/>
    <xf numFmtId="165" fontId="15" fillId="4" borderId="12" xfId="1" applyFont="1" applyFill="1" applyBorder="1" applyAlignment="1">
      <alignment horizontal="center"/>
    </xf>
    <xf numFmtId="165" fontId="15" fillId="4" borderId="13" xfId="1" applyFont="1" applyFill="1" applyBorder="1" applyAlignment="1">
      <alignment horizontal="center"/>
    </xf>
    <xf numFmtId="165" fontId="15" fillId="4" borderId="14" xfId="1" applyFont="1" applyFill="1" applyBorder="1" applyAlignment="1">
      <alignment horizontal="center"/>
    </xf>
    <xf numFmtId="168" fontId="16" fillId="5" borderId="0" xfId="1" applyNumberFormat="1" applyFont="1" applyFill="1" applyBorder="1"/>
    <xf numFmtId="168" fontId="16" fillId="2" borderId="0" xfId="1" applyNumberFormat="1" applyFont="1" applyFill="1" applyBorder="1"/>
    <xf numFmtId="168" fontId="17" fillId="2" borderId="0" xfId="1" applyNumberFormat="1" applyFont="1" applyFill="1" applyBorder="1"/>
    <xf numFmtId="168" fontId="6" fillId="3" borderId="10" xfId="1" applyNumberFormat="1" applyFont="1" applyFill="1" applyBorder="1"/>
    <xf numFmtId="165" fontId="19" fillId="2" borderId="0" xfId="1" applyFont="1" applyFill="1"/>
    <xf numFmtId="168" fontId="6" fillId="0" borderId="10" xfId="1" applyNumberFormat="1" applyFont="1" applyFill="1" applyBorder="1"/>
    <xf numFmtId="168" fontId="18" fillId="2" borderId="0" xfId="1" applyNumberFormat="1" applyFont="1" applyFill="1" applyBorder="1"/>
    <xf numFmtId="168" fontId="5" fillId="2" borderId="0" xfId="1" applyNumberFormat="1" applyFont="1" applyFill="1" applyBorder="1"/>
    <xf numFmtId="0" fontId="16" fillId="2" borderId="0" xfId="0" applyFont="1" applyFill="1"/>
    <xf numFmtId="0" fontId="21" fillId="2" borderId="0" xfId="0" applyFont="1" applyFill="1"/>
    <xf numFmtId="167" fontId="21" fillId="2" borderId="0" xfId="0" applyNumberFormat="1" applyFont="1" applyFill="1"/>
    <xf numFmtId="165" fontId="21" fillId="2" borderId="0" xfId="1" applyFont="1" applyFill="1"/>
    <xf numFmtId="4" fontId="21" fillId="2" borderId="0" xfId="0" applyNumberFormat="1" applyFont="1" applyFill="1"/>
    <xf numFmtId="165" fontId="21" fillId="2" borderId="0" xfId="0" applyNumberFormat="1" applyFont="1" applyFill="1"/>
    <xf numFmtId="168" fontId="22" fillId="2" borderId="0" xfId="1" applyNumberFormat="1" applyFont="1" applyFill="1" applyBorder="1"/>
    <xf numFmtId="164" fontId="17" fillId="2" borderId="0" xfId="34" applyFont="1" applyFill="1" applyBorder="1" applyAlignment="1">
      <alignment horizontal="right"/>
    </xf>
    <xf numFmtId="168" fontId="17" fillId="5" borderId="0" xfId="1" applyNumberFormat="1" applyFont="1" applyFill="1" applyBorder="1"/>
    <xf numFmtId="167" fontId="17" fillId="5" borderId="0" xfId="1" applyNumberFormat="1" applyFont="1" applyFill="1" applyBorder="1"/>
    <xf numFmtId="168" fontId="6" fillId="2" borderId="0" xfId="1" applyNumberFormat="1" applyFont="1" applyFill="1" applyBorder="1"/>
    <xf numFmtId="168" fontId="6" fillId="2" borderId="10" xfId="1" applyNumberFormat="1" applyFont="1" applyFill="1" applyBorder="1"/>
    <xf numFmtId="165" fontId="23" fillId="2" borderId="0" xfId="1" applyFont="1" applyFill="1"/>
    <xf numFmtId="168" fontId="16" fillId="5" borderId="0" xfId="1" applyNumberFormat="1" applyFont="1" applyFill="1" applyBorder="1" applyAlignment="1">
      <alignment horizontal="center"/>
    </xf>
    <xf numFmtId="168" fontId="6" fillId="3" borderId="10" xfId="1" applyNumberFormat="1" applyFont="1" applyFill="1" applyBorder="1" applyAlignment="1">
      <alignment horizontal="center"/>
    </xf>
    <xf numFmtId="170" fontId="21" fillId="2" borderId="0" xfId="0" applyNumberFormat="1" applyFont="1" applyFill="1"/>
    <xf numFmtId="167" fontId="17" fillId="5" borderId="6" xfId="1" applyNumberFormat="1" applyFont="1" applyFill="1" applyBorder="1"/>
    <xf numFmtId="167" fontId="16" fillId="5" borderId="6" xfId="1" applyNumberFormat="1" applyFont="1" applyFill="1" applyBorder="1" applyAlignment="1">
      <alignment horizontal="center"/>
    </xf>
    <xf numFmtId="168" fontId="17" fillId="2" borderId="6" xfId="1" applyNumberFormat="1" applyFont="1" applyFill="1" applyBorder="1"/>
    <xf numFmtId="167" fontId="17" fillId="2" borderId="0" xfId="1" applyNumberFormat="1" applyFont="1" applyFill="1" applyBorder="1" applyAlignment="1">
      <alignment horizontal="right"/>
    </xf>
    <xf numFmtId="167" fontId="17" fillId="2" borderId="0" xfId="1" applyNumberFormat="1" applyFont="1" applyFill="1" applyBorder="1" applyAlignment="1"/>
    <xf numFmtId="168" fontId="16" fillId="5" borderId="0" xfId="1" applyNumberFormat="1" applyFont="1" applyFill="1" applyBorder="1" applyAlignment="1">
      <alignment horizontal="right"/>
    </xf>
    <xf numFmtId="167" fontId="17" fillId="2" borderId="6" xfId="1" applyNumberFormat="1" applyFont="1" applyFill="1" applyBorder="1" applyAlignment="1">
      <alignment horizontal="right"/>
    </xf>
    <xf numFmtId="10" fontId="21" fillId="2" borderId="0" xfId="40" applyNumberFormat="1" applyFont="1" applyFill="1"/>
    <xf numFmtId="4" fontId="0" fillId="0" borderId="0" xfId="0" applyNumberFormat="1"/>
    <xf numFmtId="168" fontId="16" fillId="2" borderId="0" xfId="1" applyNumberFormat="1" applyFont="1" applyFill="1" applyBorder="1" applyAlignment="1">
      <alignment horizontal="right"/>
    </xf>
    <xf numFmtId="168" fontId="17" fillId="2" borderId="0" xfId="1" applyNumberFormat="1" applyFont="1" applyFill="1" applyBorder="1" applyAlignment="1">
      <alignment horizontal="right"/>
    </xf>
    <xf numFmtId="168" fontId="6" fillId="3" borderId="10" xfId="1" applyNumberFormat="1" applyFont="1" applyFill="1" applyBorder="1" applyAlignment="1">
      <alignment horizontal="right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168" fontId="16" fillId="2" borderId="0" xfId="1" applyNumberFormat="1" applyFont="1" applyFill="1" applyBorder="1" applyAlignment="1">
      <alignment horizontal="center"/>
    </xf>
    <xf numFmtId="168" fontId="17" fillId="2" borderId="0" xfId="1" applyNumberFormat="1" applyFont="1" applyFill="1" applyBorder="1" applyAlignment="1">
      <alignment horizontal="center"/>
    </xf>
    <xf numFmtId="170" fontId="21" fillId="2" borderId="0" xfId="0" applyNumberFormat="1" applyFont="1" applyFill="1" applyAlignment="1">
      <alignment horizontal="center"/>
    </xf>
    <xf numFmtId="168" fontId="17" fillId="0" borderId="0" xfId="1" applyNumberFormat="1" applyFont="1" applyFill="1" applyBorder="1" applyAlignment="1">
      <alignment horizontal="center"/>
    </xf>
    <xf numFmtId="168" fontId="16" fillId="0" borderId="0" xfId="1" applyNumberFormat="1" applyFont="1" applyFill="1" applyBorder="1" applyAlignment="1">
      <alignment horizontal="center"/>
    </xf>
    <xf numFmtId="165" fontId="15" fillId="4" borderId="7" xfId="1" applyFont="1" applyFill="1" applyBorder="1" applyAlignment="1">
      <alignment horizontal="center"/>
    </xf>
    <xf numFmtId="0" fontId="21" fillId="2" borderId="0" xfId="0" applyFont="1" applyFill="1" applyAlignment="1">
      <alignment horizontal="center"/>
    </xf>
    <xf numFmtId="4" fontId="0" fillId="0" borderId="0" xfId="0" applyNumberFormat="1" applyAlignment="1">
      <alignment horizontal="center"/>
    </xf>
    <xf numFmtId="165" fontId="0" fillId="2" borderId="0" xfId="1" applyFont="1" applyFill="1" applyAlignment="1">
      <alignment horizontal="center"/>
    </xf>
    <xf numFmtId="4" fontId="0" fillId="2" borderId="0" xfId="0" applyNumberFormat="1" applyFill="1" applyAlignment="1">
      <alignment horizontal="center"/>
    </xf>
    <xf numFmtId="0" fontId="11" fillId="3" borderId="0" xfId="0" applyFont="1" applyFill="1" applyAlignment="1">
      <alignment horizontal="center" wrapText="1"/>
    </xf>
    <xf numFmtId="0" fontId="11" fillId="3" borderId="5" xfId="0" applyFont="1" applyFill="1" applyBorder="1" applyAlignment="1">
      <alignment horizontal="center" wrapText="1"/>
    </xf>
    <xf numFmtId="0" fontId="11" fillId="3" borderId="0" xfId="0" applyFont="1" applyFill="1" applyAlignment="1">
      <alignment horizontal="center"/>
    </xf>
    <xf numFmtId="0" fontId="11" fillId="3" borderId="5" xfId="0" applyFont="1" applyFill="1" applyBorder="1" applyAlignment="1">
      <alignment horizontal="center"/>
    </xf>
    <xf numFmtId="0" fontId="11" fillId="3" borderId="0" xfId="0" applyFont="1" applyFill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wrapText="1"/>
    </xf>
  </cellXfs>
  <cellStyles count="41">
    <cellStyle name="Euro" xfId="5" xr:uid="{00000000-0005-0000-0000-000000000000}"/>
    <cellStyle name="Euro 2" xfId="6" xr:uid="{00000000-0005-0000-0000-000001000000}"/>
    <cellStyle name="Euro 2 2" xfId="7" xr:uid="{00000000-0005-0000-0000-000002000000}"/>
    <cellStyle name="Euro 3" xfId="8" xr:uid="{00000000-0005-0000-0000-000003000000}"/>
    <cellStyle name="Euro 3 2" xfId="9" xr:uid="{00000000-0005-0000-0000-000004000000}"/>
    <cellStyle name="Euro 4" xfId="10" xr:uid="{00000000-0005-0000-0000-000005000000}"/>
    <cellStyle name="Euro 5" xfId="28" xr:uid="{00000000-0005-0000-0000-000006000000}"/>
    <cellStyle name="Hipervínculo" xfId="38" builtinId="8" hidden="1"/>
    <cellStyle name="Hipervínculo visitado" xfId="39" builtinId="9" hidden="1"/>
    <cellStyle name="Millares" xfId="1" builtinId="3"/>
    <cellStyle name="Millares 2" xfId="12" xr:uid="{00000000-0005-0000-0000-00000A000000}"/>
    <cellStyle name="Millares 2 2" xfId="13" xr:uid="{00000000-0005-0000-0000-00000B000000}"/>
    <cellStyle name="Millares 2 2 2" xfId="30" xr:uid="{00000000-0005-0000-0000-00000C000000}"/>
    <cellStyle name="Millares 2 3" xfId="14" xr:uid="{00000000-0005-0000-0000-00000D000000}"/>
    <cellStyle name="Millares 2 3 2" xfId="31" xr:uid="{00000000-0005-0000-0000-00000E000000}"/>
    <cellStyle name="Millares 2 4" xfId="29" xr:uid="{00000000-0005-0000-0000-00000F000000}"/>
    <cellStyle name="Millares 3" xfId="15" xr:uid="{00000000-0005-0000-0000-000010000000}"/>
    <cellStyle name="Millares 3 2" xfId="16" xr:uid="{00000000-0005-0000-0000-000011000000}"/>
    <cellStyle name="Millares 3 2 2" xfId="33" xr:uid="{00000000-0005-0000-0000-000012000000}"/>
    <cellStyle name="Millares 3 3" xfId="34" xr:uid="{00000000-0005-0000-0000-000013000000}"/>
    <cellStyle name="Millares 3 4" xfId="32" xr:uid="{00000000-0005-0000-0000-000014000000}"/>
    <cellStyle name="Millares 4" xfId="17" xr:uid="{00000000-0005-0000-0000-000015000000}"/>
    <cellStyle name="Millares 4 2" xfId="18" xr:uid="{00000000-0005-0000-0000-000016000000}"/>
    <cellStyle name="Millares 4 3" xfId="19" xr:uid="{00000000-0005-0000-0000-000017000000}"/>
    <cellStyle name="Millares 4 4" xfId="35" xr:uid="{00000000-0005-0000-0000-000018000000}"/>
    <cellStyle name="Millares 5" xfId="20" xr:uid="{00000000-0005-0000-0000-000019000000}"/>
    <cellStyle name="Millares 5 2" xfId="21" xr:uid="{00000000-0005-0000-0000-00001A000000}"/>
    <cellStyle name="Millares 5 3" xfId="36" xr:uid="{00000000-0005-0000-0000-00001B000000}"/>
    <cellStyle name="Millares 6" xfId="22" xr:uid="{00000000-0005-0000-0000-00001C000000}"/>
    <cellStyle name="Millares 6 2" xfId="37" xr:uid="{00000000-0005-0000-0000-00001D000000}"/>
    <cellStyle name="Millares 7" xfId="11" xr:uid="{00000000-0005-0000-0000-00001E000000}"/>
    <cellStyle name="Normal" xfId="0" builtinId="0"/>
    <cellStyle name="Normal 2" xfId="23" xr:uid="{00000000-0005-0000-0000-000020000000}"/>
    <cellStyle name="Normal 3" xfId="24" xr:uid="{00000000-0005-0000-0000-000021000000}"/>
    <cellStyle name="Normal 3 2" xfId="25" xr:uid="{00000000-0005-0000-0000-000022000000}"/>
    <cellStyle name="Normal 4" xfId="4" xr:uid="{00000000-0005-0000-0000-000023000000}"/>
    <cellStyle name="Normal 5" xfId="27" xr:uid="{00000000-0005-0000-0000-000024000000}"/>
    <cellStyle name="Normal_COMPARACION 2002-2001" xfId="3" xr:uid="{00000000-0005-0000-0000-000025000000}"/>
    <cellStyle name="Normal_Hoja6" xfId="2" xr:uid="{00000000-0005-0000-0000-000026000000}"/>
    <cellStyle name="Porcentaje" xfId="40" builtinId="5"/>
    <cellStyle name="Porcentaje 2" xfId="26" xr:uid="{00000000-0005-0000-0000-000027000000}"/>
  </cellStyles>
  <dxfs count="0"/>
  <tableStyles count="1" defaultTableStyle="TableStyleMedium2" defaultPivotStyle="PivotStyleLight16">
    <tableStyle name="Invisible" pivot="0" table="0" count="0" xr9:uid="{A7AEA587-DC1D-4F00-A1DE-6710FF4F53C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63349</xdr:colOff>
      <xdr:row>0</xdr:row>
      <xdr:rowOff>141212</xdr:rowOff>
    </xdr:from>
    <xdr:to>
      <xdr:col>0</xdr:col>
      <xdr:colOff>1755320</xdr:colOff>
      <xdr:row>3</xdr:row>
      <xdr:rowOff>112706</xdr:rowOff>
    </xdr:to>
    <xdr:pic>
      <xdr:nvPicPr>
        <xdr:cNvPr id="2" name="1 Imagen" descr="http://portal.dga.gov.do/dgagov.net/uploads/image/varios/logo-final-dga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65" b="25641"/>
        <a:stretch/>
      </xdr:blipFill>
      <xdr:spPr bwMode="auto">
        <a:xfrm>
          <a:off x="63349" y="141212"/>
          <a:ext cx="1691971" cy="6654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J60"/>
  <sheetViews>
    <sheetView tabSelected="1" topLeftCell="A21" zoomScaleNormal="100" zoomScalePageLayoutView="82" workbookViewId="0">
      <pane xSplit="1" topLeftCell="IC1" activePane="topRight" state="frozen"/>
      <selection activeCell="A7" sqref="A7"/>
      <selection pane="topRight" activeCell="A40" sqref="A40"/>
    </sheetView>
  </sheetViews>
  <sheetFormatPr baseColWidth="10" defaultColWidth="11.42578125" defaultRowHeight="15" x14ac:dyDescent="0.25"/>
  <cols>
    <col min="1" max="1" width="98" style="1" bestFit="1" customWidth="1"/>
    <col min="2" max="109" width="17.42578125" style="1" customWidth="1"/>
    <col min="110" max="113" width="12.28515625" style="1" customWidth="1"/>
    <col min="114" max="114" width="16.42578125" style="36" customWidth="1"/>
    <col min="115" max="115" width="12.28515625" style="36" customWidth="1"/>
    <col min="116" max="116" width="15.7109375" style="36" customWidth="1"/>
    <col min="117" max="117" width="14.7109375" style="36" customWidth="1"/>
    <col min="118" max="118" width="17.42578125" style="1" customWidth="1"/>
    <col min="119" max="119" width="14" style="1" customWidth="1"/>
    <col min="120" max="120" width="14" style="36" customWidth="1"/>
    <col min="121" max="121" width="16" style="36" customWidth="1"/>
    <col min="122" max="123" width="14" style="36" customWidth="1"/>
    <col min="124" max="124" width="15" style="36" customWidth="1"/>
    <col min="125" max="125" width="15.7109375" style="36" customWidth="1"/>
    <col min="126" max="126" width="14.28515625" style="36" customWidth="1"/>
    <col min="127" max="127" width="16.42578125" style="36" customWidth="1"/>
    <col min="128" max="128" width="14.28515625" style="36" customWidth="1"/>
    <col min="129" max="129" width="15.7109375" style="36" customWidth="1"/>
    <col min="130" max="130" width="15.28515625" style="36" customWidth="1"/>
    <col min="131" max="131" width="16.28515625" style="1" customWidth="1"/>
    <col min="132" max="134" width="16.42578125" style="1" customWidth="1"/>
    <col min="135" max="135" width="16.42578125" style="36" customWidth="1"/>
    <col min="136" max="136" width="20.42578125" style="36" customWidth="1"/>
    <col min="137" max="137" width="17" style="36" customWidth="1"/>
    <col min="138" max="141" width="15.28515625" style="36" customWidth="1"/>
    <col min="142" max="143" width="21.42578125" style="36" customWidth="1"/>
    <col min="144" max="144" width="21.42578125" style="1" customWidth="1"/>
    <col min="145" max="151" width="18.28515625" style="1" customWidth="1"/>
    <col min="152" max="156" width="19.28515625" style="1" customWidth="1"/>
    <col min="157" max="157" width="15.5703125" style="1" customWidth="1"/>
    <col min="158" max="158" width="15.7109375" style="1" customWidth="1"/>
    <col min="159" max="159" width="15.28515625" style="1" customWidth="1"/>
    <col min="160" max="163" width="12.7109375" style="1" customWidth="1"/>
    <col min="164" max="164" width="13.7109375" style="1" bestFit="1" customWidth="1"/>
    <col min="165" max="165" width="18.42578125" style="1" customWidth="1"/>
    <col min="166" max="166" width="18" style="1" customWidth="1"/>
    <col min="167" max="167" width="19.5703125" style="1" bestFit="1" customWidth="1"/>
    <col min="168" max="169" width="14.28515625" style="1" customWidth="1"/>
    <col min="170" max="170" width="18" style="1" customWidth="1"/>
    <col min="171" max="178" width="17.42578125" style="1" customWidth="1"/>
    <col min="179" max="179" width="22" style="1" bestFit="1" customWidth="1"/>
    <col min="180" max="182" width="22" style="1" customWidth="1"/>
    <col min="183" max="183" width="21.42578125" style="1" customWidth="1"/>
    <col min="184" max="184" width="18.5703125" style="1" bestFit="1" customWidth="1"/>
    <col min="185" max="195" width="18.5703125" style="1" customWidth="1"/>
    <col min="196" max="196" width="18" style="1" customWidth="1"/>
    <col min="197" max="201" width="18.5703125" style="1" customWidth="1"/>
    <col min="202" max="208" width="18.5703125" style="83" customWidth="1"/>
    <col min="209" max="209" width="14.7109375" style="1" bestFit="1" customWidth="1"/>
    <col min="210" max="215" width="16.28515625" style="1" customWidth="1"/>
    <col min="216" max="216" width="17.28515625" style="1" bestFit="1" customWidth="1"/>
    <col min="217" max="217" width="21.5703125" style="1" bestFit="1" customWidth="1"/>
    <col min="218" max="221" width="21.5703125" style="1" customWidth="1"/>
    <col min="222" max="222" width="20.140625" style="1" bestFit="1" customWidth="1"/>
    <col min="223" max="225" width="21.5703125" style="1" customWidth="1"/>
    <col min="226" max="234" width="21.5703125" style="83" customWidth="1"/>
    <col min="235" max="235" width="15.42578125" style="1" bestFit="1" customWidth="1"/>
    <col min="236" max="243" width="21.5703125" style="83" customWidth="1"/>
    <col min="244" max="244" width="15.42578125" style="1" bestFit="1" customWidth="1"/>
    <col min="245" max="16384" width="11.42578125" style="1"/>
  </cols>
  <sheetData>
    <row r="1" spans="1:244" ht="18.75" x14ac:dyDescent="0.3">
      <c r="A1" s="12" t="s">
        <v>48</v>
      </c>
      <c r="EL1" s="36" t="s">
        <v>43</v>
      </c>
    </row>
    <row r="2" spans="1:244" ht="18.75" x14ac:dyDescent="0.3">
      <c r="A2" s="13" t="s">
        <v>49</v>
      </c>
    </row>
    <row r="3" spans="1:244" ht="15.75" x14ac:dyDescent="0.25">
      <c r="A3" s="14" t="s">
        <v>53</v>
      </c>
      <c r="FG3" s="19"/>
    </row>
    <row r="4" spans="1:244" ht="15.75" x14ac:dyDescent="0.25">
      <c r="A4" s="14" t="s">
        <v>52</v>
      </c>
    </row>
    <row r="5" spans="1:244" x14ac:dyDescent="0.25">
      <c r="GN5" s="56"/>
      <c r="HA5" s="56"/>
      <c r="HB5" s="56"/>
      <c r="HC5" s="56"/>
      <c r="HD5" s="56"/>
      <c r="HE5" s="56"/>
      <c r="HF5" s="56"/>
      <c r="HG5" s="56"/>
      <c r="HH5" s="56"/>
      <c r="HI5" s="56"/>
      <c r="HJ5" s="56"/>
      <c r="HK5" s="56"/>
      <c r="HL5" s="56"/>
      <c r="HM5" s="56"/>
      <c r="HN5" s="56"/>
      <c r="HO5" s="56"/>
      <c r="HP5" s="56"/>
      <c r="HQ5" s="56"/>
      <c r="HR5" s="91"/>
      <c r="HS5" s="91"/>
      <c r="HT5" s="91"/>
      <c r="HU5" s="91"/>
      <c r="HV5" s="91"/>
      <c r="HW5" s="91"/>
      <c r="HX5" s="91"/>
      <c r="HY5" s="91"/>
      <c r="HZ5" s="91"/>
      <c r="IA5" s="56"/>
      <c r="IB5" s="91"/>
      <c r="IC5" s="91"/>
      <c r="ID5" s="91"/>
      <c r="IE5" s="91"/>
      <c r="IF5" s="91"/>
      <c r="IG5" s="91"/>
      <c r="IH5" s="91"/>
      <c r="II5" s="91"/>
      <c r="IJ5" s="56"/>
    </row>
    <row r="6" spans="1:244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41"/>
      <c r="DK6" s="41"/>
      <c r="DL6" s="41"/>
      <c r="DM6" s="41"/>
      <c r="DN6" s="15"/>
      <c r="DO6" s="15"/>
      <c r="DP6" s="41"/>
      <c r="DQ6" s="41"/>
      <c r="DR6" s="41"/>
      <c r="DS6" s="41"/>
      <c r="DT6" s="41"/>
      <c r="DU6" s="41"/>
      <c r="DV6" s="41"/>
      <c r="DW6" s="41"/>
      <c r="DX6" s="41"/>
      <c r="DY6" s="41"/>
      <c r="DZ6" s="41"/>
      <c r="EA6" s="15"/>
      <c r="EB6" s="15"/>
      <c r="EC6" s="15"/>
      <c r="ED6" s="15"/>
      <c r="EE6" s="41"/>
      <c r="EF6" s="41"/>
      <c r="EG6" s="41"/>
      <c r="EH6" s="41"/>
      <c r="EI6" s="41"/>
      <c r="EJ6" s="41"/>
      <c r="EK6" s="41"/>
      <c r="EL6" s="41"/>
      <c r="EM6" s="41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84"/>
      <c r="GU6" s="84"/>
      <c r="GV6" s="84"/>
      <c r="GW6" s="84"/>
      <c r="GX6" s="84"/>
      <c r="GY6" s="84"/>
      <c r="GZ6" s="84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84"/>
      <c r="HS6" s="84"/>
      <c r="HT6" s="84"/>
      <c r="HU6" s="84"/>
      <c r="HV6" s="84"/>
      <c r="HW6" s="84"/>
      <c r="HX6" s="84"/>
      <c r="HY6" s="84"/>
      <c r="HZ6" s="84"/>
      <c r="IA6" s="15"/>
      <c r="IB6" s="84"/>
      <c r="IC6" s="84"/>
      <c r="ID6" s="84"/>
      <c r="IE6" s="84"/>
      <c r="IF6" s="84"/>
      <c r="IG6" s="84"/>
      <c r="IH6" s="84"/>
      <c r="II6" s="84"/>
      <c r="IJ6" s="15"/>
    </row>
    <row r="8" spans="1:244" s="11" customFormat="1" ht="19.5" customHeight="1" thickBot="1" x14ac:dyDescent="0.35">
      <c r="A8" s="99" t="s">
        <v>0</v>
      </c>
      <c r="B8" s="104">
        <v>2008</v>
      </c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2"/>
      <c r="N8" s="105" t="s">
        <v>1</v>
      </c>
      <c r="O8" s="104">
        <v>2009</v>
      </c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2"/>
      <c r="AA8" s="105" t="s">
        <v>2</v>
      </c>
      <c r="AB8" s="103">
        <v>2010</v>
      </c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100"/>
      <c r="AN8" s="105" t="s">
        <v>3</v>
      </c>
      <c r="AO8" s="103">
        <v>2011</v>
      </c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100"/>
      <c r="BA8" s="105" t="s">
        <v>4</v>
      </c>
      <c r="BB8" s="103">
        <v>2012</v>
      </c>
      <c r="BC8" s="99">
        <v>2012</v>
      </c>
      <c r="BD8" s="99">
        <v>2012</v>
      </c>
      <c r="BE8" s="99">
        <v>2012</v>
      </c>
      <c r="BF8" s="99">
        <v>2012</v>
      </c>
      <c r="BG8" s="99">
        <v>2012</v>
      </c>
      <c r="BH8" s="99">
        <v>2012</v>
      </c>
      <c r="BI8" s="99">
        <v>2012</v>
      </c>
      <c r="BJ8" s="99">
        <v>2012</v>
      </c>
      <c r="BK8" s="99">
        <v>2012</v>
      </c>
      <c r="BL8" s="99">
        <v>2012</v>
      </c>
      <c r="BM8" s="100">
        <v>2012</v>
      </c>
      <c r="BN8" s="105" t="s">
        <v>5</v>
      </c>
      <c r="BO8" s="103">
        <v>2013</v>
      </c>
      <c r="BP8" s="99">
        <v>2013</v>
      </c>
      <c r="BQ8" s="99">
        <v>2013</v>
      </c>
      <c r="BR8" s="99">
        <v>2013</v>
      </c>
      <c r="BS8" s="99">
        <v>2013</v>
      </c>
      <c r="BT8" s="99">
        <v>2013</v>
      </c>
      <c r="BU8" s="99">
        <v>2013</v>
      </c>
      <c r="BV8" s="99">
        <v>2013</v>
      </c>
      <c r="BW8" s="99">
        <v>2013</v>
      </c>
      <c r="BX8" s="99">
        <v>2013</v>
      </c>
      <c r="BY8" s="99">
        <v>2013</v>
      </c>
      <c r="BZ8" s="100">
        <v>2013</v>
      </c>
      <c r="CA8" s="105" t="s">
        <v>6</v>
      </c>
      <c r="CB8" s="103">
        <v>2014</v>
      </c>
      <c r="CC8" s="99"/>
      <c r="CD8" s="99"/>
      <c r="CE8" s="99"/>
      <c r="CF8" s="99"/>
      <c r="CG8" s="99"/>
      <c r="CH8" s="99"/>
      <c r="CI8" s="99"/>
      <c r="CJ8" s="99"/>
      <c r="CK8" s="99"/>
      <c r="CL8" s="99"/>
      <c r="CM8" s="100"/>
      <c r="CN8" s="105" t="s">
        <v>7</v>
      </c>
      <c r="CO8" s="104">
        <v>2015</v>
      </c>
      <c r="CP8" s="101"/>
      <c r="CQ8" s="101"/>
      <c r="CR8" s="101"/>
      <c r="CS8" s="101"/>
      <c r="CT8" s="101"/>
      <c r="CU8" s="101"/>
      <c r="CV8" s="101"/>
      <c r="CW8" s="101"/>
      <c r="CX8" s="101"/>
      <c r="CY8" s="101"/>
      <c r="CZ8" s="102"/>
      <c r="DA8" s="33" t="s">
        <v>42</v>
      </c>
      <c r="DB8" s="103">
        <v>2016</v>
      </c>
      <c r="DC8" s="99"/>
      <c r="DD8" s="99"/>
      <c r="DE8" s="99"/>
      <c r="DF8" s="99"/>
      <c r="DG8" s="99"/>
      <c r="DH8" s="99"/>
      <c r="DI8" s="99"/>
      <c r="DJ8" s="99"/>
      <c r="DK8" s="99"/>
      <c r="DL8" s="99"/>
      <c r="DM8" s="100"/>
      <c r="DN8" s="33" t="s">
        <v>42</v>
      </c>
      <c r="DO8" s="103">
        <v>2017</v>
      </c>
      <c r="DP8" s="99"/>
      <c r="DQ8" s="99"/>
      <c r="DR8" s="99"/>
      <c r="DS8" s="99"/>
      <c r="DT8" s="99"/>
      <c r="DU8" s="99"/>
      <c r="DV8" s="99"/>
      <c r="DW8" s="99"/>
      <c r="DX8" s="99"/>
      <c r="DY8" s="99"/>
      <c r="DZ8" s="100"/>
      <c r="EA8" s="33" t="s">
        <v>42</v>
      </c>
      <c r="EB8" s="104">
        <v>2018</v>
      </c>
      <c r="EC8" s="101"/>
      <c r="ED8" s="101"/>
      <c r="EE8" s="101"/>
      <c r="EF8" s="101"/>
      <c r="EG8" s="101"/>
      <c r="EH8" s="101"/>
      <c r="EI8" s="101"/>
      <c r="EJ8" s="101"/>
      <c r="EK8" s="101"/>
      <c r="EL8" s="101"/>
      <c r="EM8" s="102"/>
      <c r="EN8" s="33" t="s">
        <v>42</v>
      </c>
      <c r="EO8" s="104">
        <v>2019</v>
      </c>
      <c r="EP8" s="101"/>
      <c r="EQ8" s="101"/>
      <c r="ER8" s="101"/>
      <c r="ES8" s="101"/>
      <c r="ET8" s="101"/>
      <c r="EU8" s="101"/>
      <c r="EV8" s="101"/>
      <c r="EW8" s="101"/>
      <c r="EX8" s="101"/>
      <c r="EY8" s="101"/>
      <c r="EZ8" s="102"/>
      <c r="FA8" s="33" t="s">
        <v>42</v>
      </c>
      <c r="FB8" s="101">
        <v>2020</v>
      </c>
      <c r="FC8" s="101"/>
      <c r="FD8" s="101"/>
      <c r="FE8" s="101"/>
      <c r="FF8" s="101"/>
      <c r="FG8" s="101"/>
      <c r="FH8" s="101"/>
      <c r="FI8" s="101"/>
      <c r="FJ8" s="101"/>
      <c r="FK8" s="101"/>
      <c r="FL8" s="101"/>
      <c r="FM8" s="102"/>
      <c r="FN8" s="33" t="s">
        <v>42</v>
      </c>
      <c r="FO8" s="101">
        <v>2021</v>
      </c>
      <c r="FP8" s="101"/>
      <c r="FQ8" s="101"/>
      <c r="FR8" s="101"/>
      <c r="FS8" s="101"/>
      <c r="FT8" s="101"/>
      <c r="FU8" s="101"/>
      <c r="FV8" s="101"/>
      <c r="FW8" s="101"/>
      <c r="FX8" s="101"/>
      <c r="FY8" s="101"/>
      <c r="FZ8" s="102"/>
      <c r="GA8" s="33" t="s">
        <v>42</v>
      </c>
      <c r="GB8" s="99">
        <v>2022</v>
      </c>
      <c r="GC8" s="99"/>
      <c r="GD8" s="99"/>
      <c r="GE8" s="99"/>
      <c r="GF8" s="99"/>
      <c r="GG8" s="99"/>
      <c r="GH8" s="99"/>
      <c r="GI8" s="99"/>
      <c r="GJ8" s="99"/>
      <c r="GK8" s="99"/>
      <c r="GL8" s="99"/>
      <c r="GM8" s="100"/>
      <c r="GN8" s="33" t="s">
        <v>42</v>
      </c>
      <c r="GO8" s="99">
        <v>2023</v>
      </c>
      <c r="GP8" s="99"/>
      <c r="GQ8" s="99"/>
      <c r="GR8" s="99"/>
      <c r="GS8" s="99"/>
      <c r="GT8" s="99"/>
      <c r="GU8" s="99"/>
      <c r="GV8" s="99"/>
      <c r="GW8" s="99"/>
      <c r="GX8" s="99"/>
      <c r="GY8" s="99"/>
      <c r="GZ8" s="100"/>
      <c r="HA8" s="33" t="s">
        <v>42</v>
      </c>
      <c r="HB8" s="97">
        <v>2024</v>
      </c>
      <c r="HC8" s="97"/>
      <c r="HD8" s="97"/>
      <c r="HE8" s="97"/>
      <c r="HF8" s="97"/>
      <c r="HG8" s="97"/>
      <c r="HH8" s="97"/>
      <c r="HI8" s="97"/>
      <c r="HJ8" s="97"/>
      <c r="HK8" s="97"/>
      <c r="HL8" s="97"/>
      <c r="HM8" s="98"/>
      <c r="HN8" s="33" t="s">
        <v>42</v>
      </c>
      <c r="HO8" s="95">
        <v>2025</v>
      </c>
      <c r="HP8" s="95"/>
      <c r="HQ8" s="95"/>
      <c r="HR8" s="95"/>
      <c r="HS8" s="95"/>
      <c r="HT8" s="95"/>
      <c r="HU8" s="95"/>
      <c r="HV8" s="95"/>
      <c r="HW8" s="95"/>
      <c r="HX8" s="95"/>
      <c r="HY8" s="95"/>
      <c r="HZ8" s="96"/>
      <c r="IA8" s="33" t="s">
        <v>42</v>
      </c>
      <c r="IB8" s="95">
        <v>2026</v>
      </c>
      <c r="IC8" s="95"/>
      <c r="ID8" s="95"/>
      <c r="IE8" s="95"/>
      <c r="IF8" s="95"/>
      <c r="IG8" s="95"/>
      <c r="IH8" s="95"/>
      <c r="II8" s="96"/>
      <c r="IJ8" s="33" t="s">
        <v>42</v>
      </c>
    </row>
    <row r="9" spans="1:244" s="11" customFormat="1" ht="19.5" thickTop="1" x14ac:dyDescent="0.3">
      <c r="A9" s="99"/>
      <c r="B9" s="30" t="s">
        <v>8</v>
      </c>
      <c r="C9" s="30" t="s">
        <v>9</v>
      </c>
      <c r="D9" s="31" t="s">
        <v>10</v>
      </c>
      <c r="E9" s="30" t="s">
        <v>11</v>
      </c>
      <c r="F9" s="31" t="s">
        <v>12</v>
      </c>
      <c r="G9" s="30" t="s">
        <v>13</v>
      </c>
      <c r="H9" s="30" t="s">
        <v>14</v>
      </c>
      <c r="I9" s="30" t="s">
        <v>15</v>
      </c>
      <c r="J9" s="30" t="s">
        <v>16</v>
      </c>
      <c r="K9" s="31" t="s">
        <v>17</v>
      </c>
      <c r="L9" s="30" t="s">
        <v>18</v>
      </c>
      <c r="M9" s="30" t="s">
        <v>19</v>
      </c>
      <c r="N9" s="105"/>
      <c r="O9" s="30" t="s">
        <v>8</v>
      </c>
      <c r="P9" s="30" t="s">
        <v>9</v>
      </c>
      <c r="Q9" s="30" t="s">
        <v>10</v>
      </c>
      <c r="R9" s="30" t="s">
        <v>11</v>
      </c>
      <c r="S9" s="30" t="s">
        <v>12</v>
      </c>
      <c r="T9" s="30" t="s">
        <v>13</v>
      </c>
      <c r="U9" s="30" t="s">
        <v>14</v>
      </c>
      <c r="V9" s="30" t="s">
        <v>15</v>
      </c>
      <c r="W9" s="30" t="s">
        <v>16</v>
      </c>
      <c r="X9" s="30" t="s">
        <v>17</v>
      </c>
      <c r="Y9" s="30" t="s">
        <v>18</v>
      </c>
      <c r="Z9" s="30" t="s">
        <v>19</v>
      </c>
      <c r="AA9" s="105"/>
      <c r="AB9" s="30" t="s">
        <v>8</v>
      </c>
      <c r="AC9" s="30" t="s">
        <v>9</v>
      </c>
      <c r="AD9" s="30" t="s">
        <v>10</v>
      </c>
      <c r="AE9" s="30" t="s">
        <v>11</v>
      </c>
      <c r="AF9" s="30" t="s">
        <v>12</v>
      </c>
      <c r="AG9" s="30" t="s">
        <v>13</v>
      </c>
      <c r="AH9" s="30" t="s">
        <v>14</v>
      </c>
      <c r="AI9" s="30" t="s">
        <v>15</v>
      </c>
      <c r="AJ9" s="30" t="s">
        <v>16</v>
      </c>
      <c r="AK9" s="30" t="s">
        <v>17</v>
      </c>
      <c r="AL9" s="30" t="s">
        <v>18</v>
      </c>
      <c r="AM9" s="30" t="s">
        <v>19</v>
      </c>
      <c r="AN9" s="105"/>
      <c r="AO9" s="30" t="s">
        <v>8</v>
      </c>
      <c r="AP9" s="30" t="s">
        <v>9</v>
      </c>
      <c r="AQ9" s="30" t="s">
        <v>10</v>
      </c>
      <c r="AR9" s="30" t="s">
        <v>11</v>
      </c>
      <c r="AS9" s="30" t="s">
        <v>12</v>
      </c>
      <c r="AT9" s="30" t="s">
        <v>13</v>
      </c>
      <c r="AU9" s="30" t="s">
        <v>14</v>
      </c>
      <c r="AV9" s="30" t="s">
        <v>15</v>
      </c>
      <c r="AW9" s="30" t="s">
        <v>16</v>
      </c>
      <c r="AX9" s="30" t="s">
        <v>17</v>
      </c>
      <c r="AY9" s="30" t="s">
        <v>18</v>
      </c>
      <c r="AZ9" s="30" t="s">
        <v>19</v>
      </c>
      <c r="BA9" s="105"/>
      <c r="BB9" s="30" t="s">
        <v>8</v>
      </c>
      <c r="BC9" s="30" t="s">
        <v>9</v>
      </c>
      <c r="BD9" s="30" t="s">
        <v>10</v>
      </c>
      <c r="BE9" s="30" t="s">
        <v>11</v>
      </c>
      <c r="BF9" s="30" t="s">
        <v>12</v>
      </c>
      <c r="BG9" s="30" t="s">
        <v>13</v>
      </c>
      <c r="BH9" s="30" t="s">
        <v>14</v>
      </c>
      <c r="BI9" s="30" t="s">
        <v>15</v>
      </c>
      <c r="BJ9" s="30" t="s">
        <v>16</v>
      </c>
      <c r="BK9" s="30" t="s">
        <v>17</v>
      </c>
      <c r="BL9" s="30" t="s">
        <v>18</v>
      </c>
      <c r="BM9" s="30" t="s">
        <v>19</v>
      </c>
      <c r="BN9" s="105"/>
      <c r="BO9" s="30" t="s">
        <v>8</v>
      </c>
      <c r="BP9" s="30" t="s">
        <v>9</v>
      </c>
      <c r="BQ9" s="30" t="s">
        <v>10</v>
      </c>
      <c r="BR9" s="30" t="s">
        <v>11</v>
      </c>
      <c r="BS9" s="30" t="s">
        <v>12</v>
      </c>
      <c r="BT9" s="30" t="s">
        <v>13</v>
      </c>
      <c r="BU9" s="30" t="s">
        <v>14</v>
      </c>
      <c r="BV9" s="30" t="s">
        <v>15</v>
      </c>
      <c r="BW9" s="30" t="s">
        <v>16</v>
      </c>
      <c r="BX9" s="30" t="s">
        <v>17</v>
      </c>
      <c r="BY9" s="30" t="s">
        <v>18</v>
      </c>
      <c r="BZ9" s="30" t="s">
        <v>19</v>
      </c>
      <c r="CA9" s="105"/>
      <c r="CB9" s="30" t="s">
        <v>8</v>
      </c>
      <c r="CC9" s="30" t="s">
        <v>9</v>
      </c>
      <c r="CD9" s="30" t="s">
        <v>10</v>
      </c>
      <c r="CE9" s="30" t="s">
        <v>11</v>
      </c>
      <c r="CF9" s="30" t="s">
        <v>12</v>
      </c>
      <c r="CG9" s="30" t="s">
        <v>13</v>
      </c>
      <c r="CH9" s="30" t="s">
        <v>14</v>
      </c>
      <c r="CI9" s="30" t="s">
        <v>15</v>
      </c>
      <c r="CJ9" s="30" t="s">
        <v>16</v>
      </c>
      <c r="CK9" s="30" t="s">
        <v>17</v>
      </c>
      <c r="CL9" s="30" t="s">
        <v>18</v>
      </c>
      <c r="CM9" s="30" t="s">
        <v>19</v>
      </c>
      <c r="CN9" s="105"/>
      <c r="CO9" s="30" t="s">
        <v>8</v>
      </c>
      <c r="CP9" s="30" t="s">
        <v>9</v>
      </c>
      <c r="CQ9" s="30" t="s">
        <v>10</v>
      </c>
      <c r="CR9" s="30" t="s">
        <v>11</v>
      </c>
      <c r="CS9" s="30" t="s">
        <v>12</v>
      </c>
      <c r="CT9" s="30" t="s">
        <v>13</v>
      </c>
      <c r="CU9" s="30" t="s">
        <v>14</v>
      </c>
      <c r="CV9" s="30" t="s">
        <v>15</v>
      </c>
      <c r="CW9" s="30" t="s">
        <v>16</v>
      </c>
      <c r="CX9" s="30" t="s">
        <v>39</v>
      </c>
      <c r="CY9" s="30" t="s">
        <v>18</v>
      </c>
      <c r="CZ9" s="30" t="s">
        <v>19</v>
      </c>
      <c r="DA9" s="33">
        <v>2015</v>
      </c>
      <c r="DB9" s="44" t="s">
        <v>8</v>
      </c>
      <c r="DC9" s="44" t="s">
        <v>41</v>
      </c>
      <c r="DD9" s="30" t="s">
        <v>10</v>
      </c>
      <c r="DE9" s="30" t="s">
        <v>11</v>
      </c>
      <c r="DF9" s="30" t="s">
        <v>12</v>
      </c>
      <c r="DG9" s="30" t="s">
        <v>13</v>
      </c>
      <c r="DH9" s="45" t="s">
        <v>14</v>
      </c>
      <c r="DI9" s="30" t="s">
        <v>15</v>
      </c>
      <c r="DJ9" s="46" t="s">
        <v>16</v>
      </c>
      <c r="DK9" s="30" t="s">
        <v>17</v>
      </c>
      <c r="DL9" s="30" t="s">
        <v>18</v>
      </c>
      <c r="DM9" s="30" t="s">
        <v>19</v>
      </c>
      <c r="DN9" s="33">
        <v>2016</v>
      </c>
      <c r="DO9" s="30" t="s">
        <v>8</v>
      </c>
      <c r="DP9" s="30" t="s">
        <v>9</v>
      </c>
      <c r="DQ9" s="30" t="s">
        <v>10</v>
      </c>
      <c r="DR9" s="30" t="s">
        <v>11</v>
      </c>
      <c r="DS9" s="30" t="s">
        <v>12</v>
      </c>
      <c r="DT9" s="30" t="s">
        <v>13</v>
      </c>
      <c r="DU9" s="30" t="s">
        <v>14</v>
      </c>
      <c r="DV9" s="30" t="s">
        <v>15</v>
      </c>
      <c r="DW9" s="30" t="s">
        <v>16</v>
      </c>
      <c r="DX9" s="30" t="s">
        <v>17</v>
      </c>
      <c r="DY9" s="30" t="s">
        <v>18</v>
      </c>
      <c r="DZ9" s="30" t="s">
        <v>19</v>
      </c>
      <c r="EA9" s="33">
        <v>2017</v>
      </c>
      <c r="EB9" s="30" t="s">
        <v>8</v>
      </c>
      <c r="EC9" s="30" t="s">
        <v>9</v>
      </c>
      <c r="ED9" s="30" t="s">
        <v>10</v>
      </c>
      <c r="EE9" s="30" t="s">
        <v>11</v>
      </c>
      <c r="EF9" s="30" t="s">
        <v>12</v>
      </c>
      <c r="EG9" s="30" t="s">
        <v>13</v>
      </c>
      <c r="EH9" s="30" t="s">
        <v>14</v>
      </c>
      <c r="EI9" s="30" t="s">
        <v>15</v>
      </c>
      <c r="EJ9" s="30" t="s">
        <v>16</v>
      </c>
      <c r="EK9" s="30" t="s">
        <v>17</v>
      </c>
      <c r="EL9" s="30" t="s">
        <v>18</v>
      </c>
      <c r="EM9" s="30" t="s">
        <v>19</v>
      </c>
      <c r="EN9" s="33">
        <v>2018</v>
      </c>
      <c r="EO9" s="30" t="s">
        <v>8</v>
      </c>
      <c r="EP9" s="30" t="s">
        <v>9</v>
      </c>
      <c r="EQ9" s="30" t="s">
        <v>10</v>
      </c>
      <c r="ER9" s="30" t="s">
        <v>11</v>
      </c>
      <c r="ES9" s="30" t="s">
        <v>12</v>
      </c>
      <c r="ET9" s="30" t="s">
        <v>13</v>
      </c>
      <c r="EU9" s="30" t="s">
        <v>14</v>
      </c>
      <c r="EV9" s="30" t="s">
        <v>15</v>
      </c>
      <c r="EW9" s="30" t="s">
        <v>16</v>
      </c>
      <c r="EX9" s="30" t="s">
        <v>17</v>
      </c>
      <c r="EY9" s="30" t="s">
        <v>18</v>
      </c>
      <c r="EZ9" s="30" t="s">
        <v>19</v>
      </c>
      <c r="FA9" s="33">
        <v>2019</v>
      </c>
      <c r="FB9" s="30" t="s">
        <v>8</v>
      </c>
      <c r="FC9" s="30" t="s">
        <v>9</v>
      </c>
      <c r="FD9" s="30" t="s">
        <v>10</v>
      </c>
      <c r="FE9" s="30" t="s">
        <v>11</v>
      </c>
      <c r="FF9" s="30" t="s">
        <v>12</v>
      </c>
      <c r="FG9" s="30" t="s">
        <v>13</v>
      </c>
      <c r="FH9" s="30" t="s">
        <v>14</v>
      </c>
      <c r="FI9" s="30" t="s">
        <v>15</v>
      </c>
      <c r="FJ9" s="30" t="s">
        <v>16</v>
      </c>
      <c r="FK9" s="30" t="s">
        <v>17</v>
      </c>
      <c r="FL9" s="30" t="s">
        <v>18</v>
      </c>
      <c r="FM9" s="30" t="s">
        <v>19</v>
      </c>
      <c r="FN9" s="33">
        <v>2020</v>
      </c>
      <c r="FO9" s="30" t="s">
        <v>8</v>
      </c>
      <c r="FP9" s="30" t="s">
        <v>9</v>
      </c>
      <c r="FQ9" s="30" t="s">
        <v>10</v>
      </c>
      <c r="FR9" s="30" t="s">
        <v>11</v>
      </c>
      <c r="FS9" s="30" t="s">
        <v>12</v>
      </c>
      <c r="FT9" s="30" t="s">
        <v>13</v>
      </c>
      <c r="FU9" s="30" t="s">
        <v>14</v>
      </c>
      <c r="FV9" s="30" t="s">
        <v>15</v>
      </c>
      <c r="FW9" s="30" t="s">
        <v>16</v>
      </c>
      <c r="FX9" s="30" t="s">
        <v>17</v>
      </c>
      <c r="FY9" s="30" t="s">
        <v>18</v>
      </c>
      <c r="FZ9" s="30" t="s">
        <v>19</v>
      </c>
      <c r="GA9" s="33">
        <v>2021</v>
      </c>
      <c r="GB9" s="30" t="s">
        <v>8</v>
      </c>
      <c r="GC9" s="30" t="s">
        <v>9</v>
      </c>
      <c r="GD9" s="30" t="s">
        <v>10</v>
      </c>
      <c r="GE9" s="30" t="s">
        <v>11</v>
      </c>
      <c r="GF9" s="30" t="s">
        <v>12</v>
      </c>
      <c r="GG9" s="30" t="s">
        <v>13</v>
      </c>
      <c r="GH9" s="30" t="s">
        <v>14</v>
      </c>
      <c r="GI9" s="30" t="s">
        <v>15</v>
      </c>
      <c r="GJ9" s="30" t="s">
        <v>16</v>
      </c>
      <c r="GK9" s="30" t="s">
        <v>17</v>
      </c>
      <c r="GL9" s="30" t="s">
        <v>18</v>
      </c>
      <c r="GM9" s="30" t="s">
        <v>19</v>
      </c>
      <c r="GN9" s="33">
        <v>2022</v>
      </c>
      <c r="GO9" s="30" t="s">
        <v>8</v>
      </c>
      <c r="GP9" s="30" t="s">
        <v>9</v>
      </c>
      <c r="GQ9" s="30" t="s">
        <v>10</v>
      </c>
      <c r="GR9" s="30" t="s">
        <v>11</v>
      </c>
      <c r="GS9" s="30" t="s">
        <v>12</v>
      </c>
      <c r="GT9" s="30" t="s">
        <v>13</v>
      </c>
      <c r="GU9" s="30" t="s">
        <v>14</v>
      </c>
      <c r="GV9" s="30" t="s">
        <v>15</v>
      </c>
      <c r="GW9" s="30" t="s">
        <v>16</v>
      </c>
      <c r="GX9" s="30" t="s">
        <v>17</v>
      </c>
      <c r="GY9" s="30" t="s">
        <v>18</v>
      </c>
      <c r="GZ9" s="30" t="s">
        <v>19</v>
      </c>
      <c r="HA9" s="33">
        <v>2023</v>
      </c>
      <c r="HB9" s="30" t="s">
        <v>8</v>
      </c>
      <c r="HC9" s="30" t="s">
        <v>9</v>
      </c>
      <c r="HD9" s="30" t="s">
        <v>10</v>
      </c>
      <c r="HE9" s="30" t="s">
        <v>11</v>
      </c>
      <c r="HF9" s="30" t="s">
        <v>12</v>
      </c>
      <c r="HG9" s="30" t="s">
        <v>13</v>
      </c>
      <c r="HH9" s="30" t="s">
        <v>14</v>
      </c>
      <c r="HI9" s="30" t="s">
        <v>15</v>
      </c>
      <c r="HJ9" s="30" t="s">
        <v>16</v>
      </c>
      <c r="HK9" s="30" t="s">
        <v>17</v>
      </c>
      <c r="HL9" s="30" t="s">
        <v>18</v>
      </c>
      <c r="HM9" s="30" t="s">
        <v>19</v>
      </c>
      <c r="HN9" s="33">
        <v>2024</v>
      </c>
      <c r="HO9" s="90" t="s">
        <v>8</v>
      </c>
      <c r="HP9" s="90" t="s">
        <v>9</v>
      </c>
      <c r="HQ9" s="90" t="s">
        <v>10</v>
      </c>
      <c r="HR9" s="90" t="s">
        <v>11</v>
      </c>
      <c r="HS9" s="90" t="s">
        <v>12</v>
      </c>
      <c r="HT9" s="90" t="s">
        <v>13</v>
      </c>
      <c r="HU9" s="90" t="s">
        <v>14</v>
      </c>
      <c r="HV9" s="90" t="s">
        <v>15</v>
      </c>
      <c r="HW9" s="90" t="s">
        <v>16</v>
      </c>
      <c r="HX9" s="90" t="s">
        <v>17</v>
      </c>
      <c r="HY9" s="90" t="s">
        <v>18</v>
      </c>
      <c r="HZ9" s="90" t="s">
        <v>19</v>
      </c>
      <c r="IA9" s="33">
        <v>2025</v>
      </c>
      <c r="IB9" s="90" t="s">
        <v>8</v>
      </c>
      <c r="IC9" s="90" t="s">
        <v>9</v>
      </c>
      <c r="ID9" s="90" t="s">
        <v>10</v>
      </c>
      <c r="IE9" s="90" t="s">
        <v>11</v>
      </c>
      <c r="IF9" s="90" t="s">
        <v>12</v>
      </c>
      <c r="IG9" s="90" t="s">
        <v>13</v>
      </c>
      <c r="IH9" s="90" t="s">
        <v>14</v>
      </c>
      <c r="II9" s="90" t="s">
        <v>15</v>
      </c>
      <c r="IJ9" s="33">
        <v>2026</v>
      </c>
    </row>
    <row r="10" spans="1:244" s="11" customFormat="1" ht="18.75" x14ac:dyDescent="0.3">
      <c r="A10" s="32" t="s">
        <v>20</v>
      </c>
      <c r="B10" s="26">
        <v>3125249724.27</v>
      </c>
      <c r="C10" s="26">
        <v>2762029144.8299999</v>
      </c>
      <c r="D10" s="26">
        <v>2952567530.0900002</v>
      </c>
      <c r="E10" s="26">
        <v>3100135220.98</v>
      </c>
      <c r="F10" s="26">
        <v>3313516894.9300003</v>
      </c>
      <c r="G10" s="26">
        <v>3113052323.4099998</v>
      </c>
      <c r="H10" s="26">
        <v>3247585057.5200005</v>
      </c>
      <c r="I10" s="26">
        <v>3006603269.8799996</v>
      </c>
      <c r="J10" s="26">
        <v>2692293804.7199998</v>
      </c>
      <c r="K10" s="26">
        <v>3027688779.0099998</v>
      </c>
      <c r="L10" s="26">
        <v>2781687473.04</v>
      </c>
      <c r="M10" s="26">
        <v>3214665871.0699997</v>
      </c>
      <c r="N10" s="26">
        <f>SUM(B10:M10)</f>
        <v>36337075093.75</v>
      </c>
      <c r="O10" s="26">
        <v>2059426618.9099998</v>
      </c>
      <c r="P10" s="26">
        <v>2055749749.6600001</v>
      </c>
      <c r="Q10" s="26">
        <v>2384145205.5599999</v>
      </c>
      <c r="R10" s="26">
        <v>2401495295.0100002</v>
      </c>
      <c r="S10" s="26">
        <v>2242667344.21</v>
      </c>
      <c r="T10" s="26">
        <v>2651205824.71</v>
      </c>
      <c r="U10" s="26">
        <v>2636635803.3500004</v>
      </c>
      <c r="V10" s="26">
        <v>2429110297.2400007</v>
      </c>
      <c r="W10" s="26">
        <v>2455832080.54</v>
      </c>
      <c r="X10" s="26">
        <v>2938856003.1700001</v>
      </c>
      <c r="Y10" s="26">
        <v>2863016574.1200004</v>
      </c>
      <c r="Z10" s="26">
        <v>3138475953.9299998</v>
      </c>
      <c r="AA10" s="26">
        <f>SUM(O10:Z10)</f>
        <v>30256616750.41</v>
      </c>
      <c r="AB10" s="26">
        <v>2246552226.8000002</v>
      </c>
      <c r="AC10" s="26">
        <v>2261652342.5300002</v>
      </c>
      <c r="AD10" s="26">
        <v>3139984341.6900001</v>
      </c>
      <c r="AE10" s="26">
        <v>2874457540.8500004</v>
      </c>
      <c r="AF10" s="26">
        <v>3011139037.7200003</v>
      </c>
      <c r="AG10" s="26">
        <v>3158163972.29</v>
      </c>
      <c r="AH10" s="26">
        <v>3247186973.9700003</v>
      </c>
      <c r="AI10" s="26">
        <v>3508302247.0100002</v>
      </c>
      <c r="AJ10" s="26">
        <v>3813470066.6499996</v>
      </c>
      <c r="AK10" s="26">
        <v>4135223445.4099998</v>
      </c>
      <c r="AL10" s="26">
        <v>4092392436.4700003</v>
      </c>
      <c r="AM10" s="26">
        <v>4054308206.3899999</v>
      </c>
      <c r="AN10" s="26">
        <v>39542832837.779999</v>
      </c>
      <c r="AO10" s="26">
        <v>3066754307.48</v>
      </c>
      <c r="AP10" s="26">
        <v>3318010741.2400002</v>
      </c>
      <c r="AQ10" s="26">
        <v>3835871880.3400002</v>
      </c>
      <c r="AR10" s="26">
        <v>3837888854.2000003</v>
      </c>
      <c r="AS10" s="26">
        <v>4330913494.5200005</v>
      </c>
      <c r="AT10" s="26">
        <v>3875934736.3399997</v>
      </c>
      <c r="AU10" s="26">
        <v>4345984101.5799999</v>
      </c>
      <c r="AV10" s="26">
        <v>3831125461.9900002</v>
      </c>
      <c r="AW10" s="26">
        <v>3882939059.1500001</v>
      </c>
      <c r="AX10" s="26">
        <v>4066055321.8400002</v>
      </c>
      <c r="AY10" s="26">
        <v>4507814775.7600002</v>
      </c>
      <c r="AZ10" s="26">
        <v>4005188804.8200002</v>
      </c>
      <c r="BA10" s="26">
        <f>SUM(AO10:AZ10)</f>
        <v>46904481539.26001</v>
      </c>
      <c r="BB10" s="26">
        <v>2918390797.3600001</v>
      </c>
      <c r="BC10" s="26">
        <v>3135660379.9000001</v>
      </c>
      <c r="BD10" s="26">
        <v>3582174261</v>
      </c>
      <c r="BE10" s="26">
        <v>2988071011.75</v>
      </c>
      <c r="BF10" s="26">
        <v>3719014109.3999996</v>
      </c>
      <c r="BG10" s="26">
        <v>3367160139.2399998</v>
      </c>
      <c r="BH10" s="26">
        <v>3762442143.5300002</v>
      </c>
      <c r="BI10" s="26">
        <v>3699252089.1899996</v>
      </c>
      <c r="BJ10" s="26">
        <v>3285662576.04</v>
      </c>
      <c r="BK10" s="26">
        <v>4362510873.1000004</v>
      </c>
      <c r="BL10" s="26">
        <v>4474343810.2699995</v>
      </c>
      <c r="BM10" s="26">
        <v>4324524731.8500004</v>
      </c>
      <c r="BN10" s="26">
        <f>SUM(BB10:BM10)</f>
        <v>43619206922.629997</v>
      </c>
      <c r="BO10" s="26">
        <v>3573778547.0100002</v>
      </c>
      <c r="BP10" s="26">
        <v>3518846028.6900001</v>
      </c>
      <c r="BQ10" s="26">
        <v>3955053680.23</v>
      </c>
      <c r="BR10" s="26">
        <v>3733268103.1800003</v>
      </c>
      <c r="BS10" s="26">
        <v>4083693109.27</v>
      </c>
      <c r="BT10" s="26">
        <v>3983519793.1600003</v>
      </c>
      <c r="BU10" s="26">
        <v>4314379235.21</v>
      </c>
      <c r="BV10" s="26">
        <v>4318958318.5900002</v>
      </c>
      <c r="BW10" s="26">
        <v>4061557473.48</v>
      </c>
      <c r="BX10" s="26">
        <v>5295084171.8699999</v>
      </c>
      <c r="BY10" s="26">
        <v>5396752819.2200003</v>
      </c>
      <c r="BZ10" s="26">
        <v>5021890947.670001</v>
      </c>
      <c r="CA10" s="26">
        <f>SUM(BO10:BZ10)</f>
        <v>51256782227.580002</v>
      </c>
      <c r="CB10" s="26">
        <v>3981733444.7599998</v>
      </c>
      <c r="CC10" s="26">
        <v>3709992729.2799997</v>
      </c>
      <c r="CD10" s="26">
        <v>4573992443.5</v>
      </c>
      <c r="CE10" s="26">
        <v>5169920787.4200001</v>
      </c>
      <c r="CF10" s="26">
        <v>5122590963.5200005</v>
      </c>
      <c r="CG10" s="26">
        <v>4766344349.3100004</v>
      </c>
      <c r="CH10" s="26">
        <v>5144341543.6099997</v>
      </c>
      <c r="CI10" s="26">
        <v>4886656194.3499994</v>
      </c>
      <c r="CJ10" s="26">
        <v>4921913776.4299994</v>
      </c>
      <c r="CK10" s="26">
        <v>6132664133.9299994</v>
      </c>
      <c r="CL10" s="26">
        <v>5556643689.46</v>
      </c>
      <c r="CM10" s="26">
        <v>5755865668.1400003</v>
      </c>
      <c r="CN10" s="26">
        <f>SUM(CB10:CM10)</f>
        <v>59722659723.709999</v>
      </c>
      <c r="CO10" s="26">
        <v>4758890525.1499996</v>
      </c>
      <c r="CP10" s="26">
        <v>4696198441.1700001</v>
      </c>
      <c r="CQ10" s="26">
        <v>5618037780.9899998</v>
      </c>
      <c r="CR10" s="26">
        <v>5066126044.4799995</v>
      </c>
      <c r="CS10" s="26">
        <v>5613862315.2199993</v>
      </c>
      <c r="CT10" s="26">
        <v>5640913148.0900002</v>
      </c>
      <c r="CU10" s="26">
        <v>5944210011.0500002</v>
      </c>
      <c r="CV10" s="26">
        <v>5649817266.71</v>
      </c>
      <c r="CW10" s="26">
        <v>6273786534.5700006</v>
      </c>
      <c r="CX10" s="26">
        <v>6862355117.6700001</v>
      </c>
      <c r="CY10" s="26">
        <v>6744754159.3800001</v>
      </c>
      <c r="CZ10" s="26">
        <v>6935220162.9399996</v>
      </c>
      <c r="DA10" s="26">
        <f>SUM(CO10:CZ10)</f>
        <v>69804171507.419998</v>
      </c>
      <c r="DB10" s="26">
        <v>4855203835.8000002</v>
      </c>
      <c r="DC10" s="26">
        <f t="shared" ref="DC10:DM10" si="0">+DC11+DC13+DC19</f>
        <v>5377358939.1899996</v>
      </c>
      <c r="DD10" s="26">
        <f t="shared" si="0"/>
        <v>6109587145.1400003</v>
      </c>
      <c r="DE10" s="26">
        <f t="shared" si="0"/>
        <v>5700147260.1799994</v>
      </c>
      <c r="DF10" s="26">
        <f t="shared" si="0"/>
        <v>5930552816.9899998</v>
      </c>
      <c r="DG10" s="26">
        <f t="shared" si="0"/>
        <v>6183145718.9300003</v>
      </c>
      <c r="DH10" s="26">
        <f t="shared" si="0"/>
        <v>5676406378.54</v>
      </c>
      <c r="DI10" s="26">
        <f t="shared" si="0"/>
        <v>6680770235.9799995</v>
      </c>
      <c r="DJ10" s="27">
        <f t="shared" si="0"/>
        <v>6515791837.0499992</v>
      </c>
      <c r="DK10" s="27">
        <f t="shared" si="0"/>
        <v>7383863147.04</v>
      </c>
      <c r="DL10" s="27">
        <f t="shared" si="0"/>
        <v>7671324603.3299999</v>
      </c>
      <c r="DM10" s="27">
        <f t="shared" si="0"/>
        <v>7055862996.1400003</v>
      </c>
      <c r="DN10" s="26">
        <f>SUM(DB10:DM10)</f>
        <v>75140014914.310013</v>
      </c>
      <c r="DO10" s="47">
        <f t="shared" ref="DO10:DZ10" si="1">+DO11+DO13+DO19</f>
        <v>6196285571.8000011</v>
      </c>
      <c r="DP10" s="47">
        <f t="shared" si="1"/>
        <v>5911738896.5299997</v>
      </c>
      <c r="DQ10" s="47">
        <f t="shared" si="1"/>
        <v>6882327028.1200008</v>
      </c>
      <c r="DR10" s="47">
        <f t="shared" si="1"/>
        <v>6151753380.7200003</v>
      </c>
      <c r="DS10" s="47">
        <f t="shared" si="1"/>
        <v>7239625053.6899996</v>
      </c>
      <c r="DT10" s="47">
        <f t="shared" si="1"/>
        <v>6688933145.8899994</v>
      </c>
      <c r="DU10" s="47">
        <f t="shared" si="1"/>
        <v>7008488265.9299994</v>
      </c>
      <c r="DV10" s="47">
        <f t="shared" si="1"/>
        <v>7740706009.0199995</v>
      </c>
      <c r="DW10" s="47">
        <f t="shared" si="1"/>
        <v>6542211831.9000006</v>
      </c>
      <c r="DX10" s="47">
        <f t="shared" si="1"/>
        <v>8507847912.3599987</v>
      </c>
      <c r="DY10" s="47">
        <f t="shared" si="1"/>
        <v>8939488024.4599991</v>
      </c>
      <c r="DZ10" s="47">
        <f t="shared" si="1"/>
        <v>7895090871.3199997</v>
      </c>
      <c r="EA10" s="27">
        <f>SUM(DO10:DZ10)</f>
        <v>85704495991.73999</v>
      </c>
      <c r="EB10" s="47">
        <f t="shared" ref="EB10:EZ10" si="2">+EB11+EB13+EB19</f>
        <v>7585468631.8499994</v>
      </c>
      <c r="EC10" s="47">
        <f t="shared" si="2"/>
        <v>6807878509.9499998</v>
      </c>
      <c r="ED10" s="47">
        <f t="shared" si="2"/>
        <v>8049381635.8999996</v>
      </c>
      <c r="EE10" s="47">
        <f t="shared" si="2"/>
        <v>7688980337.3100004</v>
      </c>
      <c r="EF10" s="47">
        <f t="shared" si="2"/>
        <v>9140542918.3799992</v>
      </c>
      <c r="EG10" s="47">
        <f t="shared" si="2"/>
        <v>8378073599.5699997</v>
      </c>
      <c r="EH10" s="47">
        <f t="shared" si="2"/>
        <v>8925738537.1100006</v>
      </c>
      <c r="EI10" s="47">
        <f t="shared" si="2"/>
        <v>9133510859.5400009</v>
      </c>
      <c r="EJ10" s="47">
        <f t="shared" si="2"/>
        <v>7837391283.1699991</v>
      </c>
      <c r="EK10" s="47">
        <f t="shared" si="2"/>
        <v>10340048957.51</v>
      </c>
      <c r="EL10" s="47">
        <f t="shared" si="2"/>
        <v>10047278692.799999</v>
      </c>
      <c r="EM10" s="47">
        <f t="shared" si="2"/>
        <v>9069547918.460001</v>
      </c>
      <c r="EN10" s="47">
        <f t="shared" si="2"/>
        <v>103003841881.55002</v>
      </c>
      <c r="EO10" s="47">
        <f t="shared" si="2"/>
        <v>8796405807.25</v>
      </c>
      <c r="EP10" s="47">
        <f t="shared" si="2"/>
        <v>7568684403.9100008</v>
      </c>
      <c r="EQ10" s="47">
        <f t="shared" si="2"/>
        <v>8621302841.9200001</v>
      </c>
      <c r="ER10" s="47">
        <f t="shared" si="2"/>
        <v>8282789228.29</v>
      </c>
      <c r="ES10" s="47">
        <f t="shared" si="2"/>
        <v>9882612066.6599998</v>
      </c>
      <c r="ET10" s="47">
        <f t="shared" si="2"/>
        <v>8283733321.7299995</v>
      </c>
      <c r="EU10" s="47">
        <f t="shared" si="2"/>
        <v>9784280421.0500011</v>
      </c>
      <c r="EV10" s="47">
        <f t="shared" si="2"/>
        <v>9466975495.2999992</v>
      </c>
      <c r="EW10" s="47">
        <f t="shared" si="2"/>
        <v>8741939286.4899998</v>
      </c>
      <c r="EX10" s="47">
        <f t="shared" si="2"/>
        <v>10812840546.1</v>
      </c>
      <c r="EY10" s="47">
        <f t="shared" si="2"/>
        <v>10008170018.539999</v>
      </c>
      <c r="EZ10" s="47">
        <f t="shared" si="2"/>
        <v>9254184630.8400002</v>
      </c>
      <c r="FA10" s="47">
        <f>+SUM(EO10:EZ10)</f>
        <v>109503918068.08</v>
      </c>
      <c r="FB10" s="47">
        <f t="shared" ref="FB10:FM10" si="3">+FB11+FB13+FB19</f>
        <v>9049603451.75</v>
      </c>
      <c r="FC10" s="47">
        <f t="shared" si="3"/>
        <v>7845109080.6499996</v>
      </c>
      <c r="FD10" s="47">
        <f t="shared" si="3"/>
        <v>7748080086.1700001</v>
      </c>
      <c r="FE10" s="47">
        <f t="shared" si="3"/>
        <v>5124273666.0699997</v>
      </c>
      <c r="FF10" s="47">
        <f t="shared" si="3"/>
        <v>5091636133.96</v>
      </c>
      <c r="FG10" s="47">
        <f t="shared" si="3"/>
        <v>6330756603.6099997</v>
      </c>
      <c r="FH10" s="47">
        <f t="shared" si="3"/>
        <v>7630570528.3000002</v>
      </c>
      <c r="FI10" s="47">
        <f t="shared" si="3"/>
        <v>7706018307.6799994</v>
      </c>
      <c r="FJ10" s="47">
        <f t="shared" si="3"/>
        <v>8518851016.9099998</v>
      </c>
      <c r="FK10" s="47">
        <f t="shared" si="3"/>
        <v>10134591393.440001</v>
      </c>
      <c r="FL10" s="47">
        <f t="shared" si="3"/>
        <v>10488975224.43</v>
      </c>
      <c r="FM10" s="47">
        <f t="shared" si="3"/>
        <v>10961767423.459999</v>
      </c>
      <c r="FN10" s="47">
        <f>+SUM(FB10:FM10)</f>
        <v>96630232916.429993</v>
      </c>
      <c r="FO10" s="47">
        <f t="shared" ref="FO10:FZ10" si="4">+FO11+FO13+FO19</f>
        <v>9435615506.9599991</v>
      </c>
      <c r="FP10" s="47">
        <f t="shared" si="4"/>
        <v>9745806791.289999</v>
      </c>
      <c r="FQ10" s="47">
        <f t="shared" si="4"/>
        <v>11000268756.200001</v>
      </c>
      <c r="FR10" s="47">
        <f t="shared" si="4"/>
        <v>10491401428.299999</v>
      </c>
      <c r="FS10" s="47">
        <f t="shared" si="4"/>
        <v>12283603299.15</v>
      </c>
      <c r="FT10" s="47">
        <f t="shared" si="4"/>
        <v>11911368736.85</v>
      </c>
      <c r="FU10" s="47">
        <f t="shared" si="4"/>
        <v>11956718177.879999</v>
      </c>
      <c r="FV10" s="47">
        <f t="shared" si="4"/>
        <v>11932995758.039999</v>
      </c>
      <c r="FW10" s="47">
        <f t="shared" si="4"/>
        <v>12268848542.179998</v>
      </c>
      <c r="FX10" s="47">
        <f t="shared" si="4"/>
        <v>14762579894.41</v>
      </c>
      <c r="FY10" s="47">
        <f t="shared" si="4"/>
        <v>16121389687.779999</v>
      </c>
      <c r="FZ10" s="47">
        <f t="shared" si="4"/>
        <v>14427163721.4</v>
      </c>
      <c r="GA10" s="68">
        <f>+SUM(FO10:FZ10)</f>
        <v>146337760300.44</v>
      </c>
      <c r="GB10" s="47">
        <f t="shared" ref="GB10:GH10" si="5">+GB11+GB13+GB19</f>
        <v>13499892726.26</v>
      </c>
      <c r="GC10" s="47">
        <f t="shared" si="5"/>
        <v>13514942296.300001</v>
      </c>
      <c r="GD10" s="47">
        <f t="shared" si="5"/>
        <v>14497565602.089998</v>
      </c>
      <c r="GE10" s="47">
        <f t="shared" si="5"/>
        <v>12812496924.41</v>
      </c>
      <c r="GF10" s="47">
        <f t="shared" si="5"/>
        <v>14869852084.749998</v>
      </c>
      <c r="GG10" s="47">
        <f t="shared" si="5"/>
        <v>15737050326.540001</v>
      </c>
      <c r="GH10" s="47">
        <f t="shared" si="5"/>
        <v>14918730319.74</v>
      </c>
      <c r="GI10" s="47">
        <f t="shared" ref="GI10:GJ10" si="6">+GI11+GI13+GI19</f>
        <v>16516646971.26</v>
      </c>
      <c r="GJ10" s="47">
        <f t="shared" si="6"/>
        <v>15837372776.18</v>
      </c>
      <c r="GK10" s="47">
        <f t="shared" ref="GK10:GL10" si="7">+GK11+GK13+GK19</f>
        <v>14870144191.91</v>
      </c>
      <c r="GL10" s="47">
        <f t="shared" si="7"/>
        <v>14404810804.280001</v>
      </c>
      <c r="GM10" s="47">
        <f t="shared" ref="GM10:GO10" si="8">+GM11+GM13+GM19</f>
        <v>13582583805.75</v>
      </c>
      <c r="GN10" s="68">
        <v>175062088829.47</v>
      </c>
      <c r="GO10" s="47">
        <f t="shared" si="8"/>
        <v>13392206622.200001</v>
      </c>
      <c r="GP10" s="47">
        <f>+GP11+GP13+GP19</f>
        <v>12616162282.34</v>
      </c>
      <c r="GQ10" s="47">
        <f>+GQ11+GQ13+GQ19</f>
        <v>14678371731</v>
      </c>
      <c r="GR10" s="76">
        <v>12636212359.309999</v>
      </c>
      <c r="GS10" s="47">
        <f t="shared" ref="GS10:GW10" si="9">+GS11+GS13+GS19</f>
        <v>14483552520.619999</v>
      </c>
      <c r="GT10" s="68">
        <f t="shared" si="9"/>
        <v>13703039789.389999</v>
      </c>
      <c r="GU10" s="68">
        <f t="shared" si="9"/>
        <v>14456758284.719999</v>
      </c>
      <c r="GV10" s="68">
        <f>+GV11+GV13+GV19</f>
        <v>14424721227.780001</v>
      </c>
      <c r="GW10" s="68">
        <f t="shared" si="9"/>
        <v>14960121763.48</v>
      </c>
      <c r="GX10" s="68">
        <f>+GX11+GX13+GX19</f>
        <v>15971936336.460001</v>
      </c>
      <c r="GY10" s="68">
        <f>+GY11+GY13+GY19</f>
        <v>16346860631.690001</v>
      </c>
      <c r="GZ10" s="68">
        <f>+GZ11+GZ13+GZ19</f>
        <v>13379421691.390001</v>
      </c>
      <c r="HA10" s="68">
        <f>SUM(GO10:GZ10)</f>
        <v>171049365240.38</v>
      </c>
      <c r="HB10" s="68">
        <f t="shared" ref="HB10:HG10" si="10">+HB11+HB13+HB19</f>
        <v>13681427992.42</v>
      </c>
      <c r="HC10" s="68">
        <f t="shared" si="10"/>
        <v>13368461249.859999</v>
      </c>
      <c r="HD10" s="68">
        <f t="shared" si="10"/>
        <v>13909509136.35</v>
      </c>
      <c r="HE10" s="68">
        <f t="shared" si="10"/>
        <v>15639226835.68</v>
      </c>
      <c r="HF10" s="68">
        <f t="shared" si="10"/>
        <v>16339326169.75</v>
      </c>
      <c r="HG10" s="68">
        <f t="shared" si="10"/>
        <v>15318622045.690001</v>
      </c>
      <c r="HH10" s="68">
        <f t="shared" ref="HH10:HL10" si="11">+HH11+HH13+HH19</f>
        <v>17364989621.75</v>
      </c>
      <c r="HI10" s="68">
        <f t="shared" si="11"/>
        <v>16961311615.6</v>
      </c>
      <c r="HJ10" s="68">
        <f t="shared" si="11"/>
        <v>17291325446.599998</v>
      </c>
      <c r="HK10" s="68">
        <f t="shared" si="11"/>
        <v>18579773809.029999</v>
      </c>
      <c r="HL10" s="68">
        <f t="shared" si="11"/>
        <v>17383976509.959999</v>
      </c>
      <c r="HM10" s="68">
        <f>+HM11+HM13+HM19</f>
        <v>16214468335.620001</v>
      </c>
      <c r="HN10" s="68">
        <f t="shared" ref="HN10:HN19" si="12">SUM(HB10:HM10)</f>
        <v>192052418768.31</v>
      </c>
      <c r="HO10" s="68">
        <f>+HO11+HO13+HO19</f>
        <v>15012387547.7864</v>
      </c>
      <c r="HP10" s="68">
        <f>+HP11+HP13+HP19</f>
        <v>15008511766.390001</v>
      </c>
      <c r="HQ10" s="68">
        <f>+HQ11+HQ13+HQ19</f>
        <v>16813667503.179998</v>
      </c>
      <c r="HR10" s="68">
        <f t="shared" ref="HR10:HV10" si="13">HR11+HR13+HR19</f>
        <v>16291419353.01</v>
      </c>
      <c r="HS10" s="68">
        <f t="shared" si="13"/>
        <v>16340778701.310001</v>
      </c>
      <c r="HT10" s="68">
        <f t="shared" si="13"/>
        <v>15669996068.380001</v>
      </c>
      <c r="HU10" s="68">
        <f t="shared" si="13"/>
        <v>17349694329.490002</v>
      </c>
      <c r="HV10" s="68">
        <f t="shared" si="13"/>
        <v>16743078549.969999</v>
      </c>
      <c r="HW10" s="68">
        <f>HW11+HW13+HW19</f>
        <v>17455478981.150002</v>
      </c>
      <c r="HX10" s="68">
        <f>HX11+HX13+HX19</f>
        <v>18132749787.759998</v>
      </c>
      <c r="HY10" s="68">
        <f>HY11+HY13+HY19</f>
        <v>16103050913.440002</v>
      </c>
      <c r="HZ10" s="68">
        <f>HZ11+HZ13+HZ19</f>
        <v>17905275089.739998</v>
      </c>
      <c r="IA10" s="68">
        <f>SUM(HO10:HZ10)</f>
        <v>198826088591.60641</v>
      </c>
      <c r="IB10" s="68">
        <f t="shared" ref="IB10:II10" si="14">IB11+IB13+IB19</f>
        <v>16009183269.27</v>
      </c>
      <c r="IC10" s="68">
        <f t="shared" si="14"/>
        <v>14204709703.460001</v>
      </c>
      <c r="ID10" s="68">
        <f t="shared" si="14"/>
        <v>17712806155.970001</v>
      </c>
      <c r="IE10" s="68">
        <f t="shared" si="14"/>
        <v>16029287553.880001</v>
      </c>
      <c r="IF10" s="68">
        <f t="shared" si="14"/>
        <v>15921850968.76</v>
      </c>
      <c r="IG10" s="68">
        <f t="shared" si="14"/>
        <v>18293793361.990002</v>
      </c>
      <c r="IH10" s="68">
        <f t="shared" si="14"/>
        <v>17495552002.43</v>
      </c>
      <c r="II10" s="68">
        <f t="shared" si="14"/>
        <v>16916616962.380001</v>
      </c>
      <c r="IJ10" s="68">
        <f>SUM(IB10:II10)</f>
        <v>132583799978.14001</v>
      </c>
    </row>
    <row r="11" spans="1:244" s="11" customFormat="1" ht="18.75" x14ac:dyDescent="0.3">
      <c r="A11" s="4" t="s">
        <v>21</v>
      </c>
      <c r="B11" s="16">
        <v>2989175812.6599998</v>
      </c>
      <c r="C11" s="17">
        <v>2619202579.6599998</v>
      </c>
      <c r="D11" s="17">
        <v>2799641269.6100001</v>
      </c>
      <c r="E11" s="17">
        <v>2912426560.3600001</v>
      </c>
      <c r="F11" s="17">
        <v>3140533664.8400002</v>
      </c>
      <c r="G11" s="17">
        <v>2930410450.4499998</v>
      </c>
      <c r="H11" s="17">
        <v>3086387226.3800001</v>
      </c>
      <c r="I11" s="17">
        <v>2835628859.48</v>
      </c>
      <c r="J11" s="17">
        <v>2520662904.8699999</v>
      </c>
      <c r="K11" s="17">
        <v>2815889763.4299998</v>
      </c>
      <c r="L11" s="17">
        <v>2566921037.0100002</v>
      </c>
      <c r="M11" s="17">
        <v>2897705604.1399999</v>
      </c>
      <c r="N11" s="26">
        <f t="shared" ref="N11:N37" si="15">SUM(B11:M11)</f>
        <v>34114585732.889999</v>
      </c>
      <c r="O11" s="17">
        <v>1936166787.3699999</v>
      </c>
      <c r="P11" s="17">
        <v>1951991329.9000001</v>
      </c>
      <c r="Q11" s="17">
        <v>2244147245.4400001</v>
      </c>
      <c r="R11" s="17">
        <v>2268133862.4200001</v>
      </c>
      <c r="S11" s="17">
        <v>2105498233.1099999</v>
      </c>
      <c r="T11" s="17">
        <v>2453273045.98</v>
      </c>
      <c r="U11" s="17">
        <v>2432970458.5700002</v>
      </c>
      <c r="V11" s="17">
        <v>2253230781.2600002</v>
      </c>
      <c r="W11" s="17">
        <v>2240346453.9699998</v>
      </c>
      <c r="X11" s="17">
        <v>2616852025.0100002</v>
      </c>
      <c r="Y11" s="17">
        <v>2567579731.2800002</v>
      </c>
      <c r="Z11" s="17">
        <v>2731367223.6300001</v>
      </c>
      <c r="AA11" s="26">
        <f t="shared" ref="AA11:AA19" si="16">SUM(O11:Z11)</f>
        <v>27801557177.939999</v>
      </c>
      <c r="AB11" s="17">
        <v>2038394921.4400001</v>
      </c>
      <c r="AC11" s="17">
        <v>2097307180.4400001</v>
      </c>
      <c r="AD11" s="17">
        <v>2905305389.2800002</v>
      </c>
      <c r="AE11" s="17">
        <v>2720122157.0900002</v>
      </c>
      <c r="AF11" s="17">
        <v>2803749296.0100002</v>
      </c>
      <c r="AG11" s="17">
        <v>2932422576.1700001</v>
      </c>
      <c r="AH11" s="17">
        <v>3027876360.3899999</v>
      </c>
      <c r="AI11" s="17">
        <v>3294579668.6100001</v>
      </c>
      <c r="AJ11" s="17">
        <v>3529404243.7199998</v>
      </c>
      <c r="AK11" s="17">
        <v>3742192251.8299999</v>
      </c>
      <c r="AL11" s="17">
        <v>3723007847.7600002</v>
      </c>
      <c r="AM11" s="17">
        <v>3702544295.0300002</v>
      </c>
      <c r="AN11" s="26">
        <v>36516906187.770004</v>
      </c>
      <c r="AO11" s="17">
        <v>2865850872.3699999</v>
      </c>
      <c r="AP11" s="17">
        <v>3138676467.5500002</v>
      </c>
      <c r="AQ11" s="17">
        <v>3575147316.46</v>
      </c>
      <c r="AR11" s="17">
        <v>3547924012.8099999</v>
      </c>
      <c r="AS11" s="17">
        <v>3999475075.8000002</v>
      </c>
      <c r="AT11" s="17">
        <v>3574028002.5999999</v>
      </c>
      <c r="AU11" s="17">
        <v>4107733279.75</v>
      </c>
      <c r="AV11" s="17">
        <v>3574619702.5599999</v>
      </c>
      <c r="AW11" s="17">
        <v>3589706052.1500001</v>
      </c>
      <c r="AX11" s="17">
        <v>3700351097.02</v>
      </c>
      <c r="AY11" s="17">
        <v>4016529884.7199998</v>
      </c>
      <c r="AZ11" s="17">
        <v>3552935269.29</v>
      </c>
      <c r="BA11" s="26">
        <f t="shared" ref="BA11:BA37" si="17">SUM(AO11:AZ11)</f>
        <v>43242977033.080002</v>
      </c>
      <c r="BB11" s="17">
        <v>2690378234.0799999</v>
      </c>
      <c r="BC11" s="17">
        <v>2911558916.5700002</v>
      </c>
      <c r="BD11" s="17">
        <v>3259708015.4000001</v>
      </c>
      <c r="BE11" s="17">
        <v>2746448894.96</v>
      </c>
      <c r="BF11" s="17">
        <v>3435996759.1399999</v>
      </c>
      <c r="BG11" s="17">
        <v>3038049060.2199998</v>
      </c>
      <c r="BH11" s="17">
        <v>3480945510.9400001</v>
      </c>
      <c r="BI11" s="17">
        <v>3390958686.6599998</v>
      </c>
      <c r="BJ11" s="17">
        <v>2950116018.52</v>
      </c>
      <c r="BK11" s="17">
        <v>3913350941.98</v>
      </c>
      <c r="BL11" s="17">
        <v>3808507062.9400001</v>
      </c>
      <c r="BM11" s="17">
        <v>3707246773.8099999</v>
      </c>
      <c r="BN11" s="26">
        <f t="shared" ref="BN11:BN37" si="18">SUM(BB11:BM11)</f>
        <v>39333264875.219994</v>
      </c>
      <c r="BO11" s="17">
        <v>3339466369.1100001</v>
      </c>
      <c r="BP11" s="17">
        <v>3250132526.4299998</v>
      </c>
      <c r="BQ11" s="17">
        <v>3623742516.5700002</v>
      </c>
      <c r="BR11" s="17">
        <v>3412060381.7800002</v>
      </c>
      <c r="BS11" s="17">
        <v>3748189432.2800002</v>
      </c>
      <c r="BT11" s="17">
        <v>3632356220.1900001</v>
      </c>
      <c r="BU11" s="17">
        <v>3959009333.04</v>
      </c>
      <c r="BV11" s="17">
        <v>3902474069.3499999</v>
      </c>
      <c r="BW11" s="17">
        <v>3608967816.1999998</v>
      </c>
      <c r="BX11" s="17">
        <v>4617326352.79</v>
      </c>
      <c r="BY11" s="17">
        <v>4505066333.0100002</v>
      </c>
      <c r="BZ11" s="17">
        <v>4211873077.7800002</v>
      </c>
      <c r="CA11" s="26">
        <f t="shared" ref="CA11:CA37" si="19">SUM(BO11:BZ11)</f>
        <v>45810664428.529999</v>
      </c>
      <c r="CB11" s="17">
        <v>3637501354.9699998</v>
      </c>
      <c r="CC11" s="17">
        <v>3405959266.8200002</v>
      </c>
      <c r="CD11" s="17">
        <v>4188254596.1300001</v>
      </c>
      <c r="CE11" s="17">
        <v>4521434126.6300001</v>
      </c>
      <c r="CF11" s="17">
        <v>4599763333.8500004</v>
      </c>
      <c r="CG11" s="17">
        <v>4245158227.7600002</v>
      </c>
      <c r="CH11" s="17">
        <v>4708159996.5699997</v>
      </c>
      <c r="CI11" s="17">
        <v>4467307701.6499996</v>
      </c>
      <c r="CJ11" s="17">
        <v>4336879627.25</v>
      </c>
      <c r="CK11" s="17">
        <v>5344140331.3199997</v>
      </c>
      <c r="CL11" s="17">
        <v>4778734318.54</v>
      </c>
      <c r="CM11" s="17">
        <v>5133471409.9300003</v>
      </c>
      <c r="CN11" s="26">
        <f t="shared" ref="CN11:CN33" si="20">SUM(CB11:CM11)</f>
        <v>53366764291.420006</v>
      </c>
      <c r="CO11" s="17">
        <v>4299181138.1700001</v>
      </c>
      <c r="CP11" s="17">
        <v>4229035968.5599999</v>
      </c>
      <c r="CQ11" s="17">
        <v>5064437985.6099997</v>
      </c>
      <c r="CR11" s="17">
        <v>4625645055.6800003</v>
      </c>
      <c r="CS11" s="17">
        <v>5073048375.3599997</v>
      </c>
      <c r="CT11" s="17">
        <v>5060486603.2200003</v>
      </c>
      <c r="CU11" s="17">
        <v>5360385307.71</v>
      </c>
      <c r="CV11" s="17">
        <v>5057429327.8199997</v>
      </c>
      <c r="CW11" s="17">
        <v>5537865591.8800001</v>
      </c>
      <c r="CX11" s="17">
        <v>5888419547.25</v>
      </c>
      <c r="CY11" s="17">
        <v>5869776796.4099998</v>
      </c>
      <c r="CZ11" s="17">
        <v>6051142472.5799999</v>
      </c>
      <c r="DA11" s="26">
        <f t="shared" ref="DA11:DA37" si="21">SUM(CO11:CZ11)</f>
        <v>62116854170.25</v>
      </c>
      <c r="DB11" s="17">
        <v>4405668074.29</v>
      </c>
      <c r="DC11" s="17">
        <f>+DC12</f>
        <v>4903297497.5500002</v>
      </c>
      <c r="DD11" s="17">
        <f>+DD12</f>
        <v>5571843383.0200005</v>
      </c>
      <c r="DE11" s="17">
        <v>5163325521.0799999</v>
      </c>
      <c r="DF11" s="17">
        <f t="shared" ref="DF11:DK11" si="22">+DF12</f>
        <v>5458661799.1999998</v>
      </c>
      <c r="DG11" s="17">
        <f t="shared" si="22"/>
        <v>5526048492.5600004</v>
      </c>
      <c r="DH11" s="17">
        <f t="shared" si="22"/>
        <v>5225840140.04</v>
      </c>
      <c r="DI11" s="17">
        <f t="shared" si="22"/>
        <v>6031302483.1999998</v>
      </c>
      <c r="DJ11" s="17">
        <f t="shared" si="22"/>
        <v>5880153927.4799995</v>
      </c>
      <c r="DK11" s="17">
        <f t="shared" si="22"/>
        <v>6280407829.3999996</v>
      </c>
      <c r="DL11" s="17">
        <f>+DL12</f>
        <v>6518580700.0299997</v>
      </c>
      <c r="DM11" s="17">
        <f>+DM12</f>
        <v>6197292216.3900003</v>
      </c>
      <c r="DN11" s="26">
        <f t="shared" ref="DN11:DN37" si="23">SUM(DB11:DM11)</f>
        <v>67162422064.239998</v>
      </c>
      <c r="DO11" s="48">
        <f t="shared" ref="DO11:DW11" si="24">+DO12</f>
        <v>5396832882.0600004</v>
      </c>
      <c r="DP11" s="48">
        <f t="shared" si="24"/>
        <v>5364916926.96</v>
      </c>
      <c r="DQ11" s="48">
        <f>+DQ12</f>
        <v>6196989277.5600004</v>
      </c>
      <c r="DR11" s="48">
        <f>+DR12</f>
        <v>5659979392.3800001</v>
      </c>
      <c r="DS11" s="48">
        <f t="shared" si="24"/>
        <v>6521250549.6199999</v>
      </c>
      <c r="DT11" s="48">
        <f>+DT12</f>
        <v>6131053380.6999998</v>
      </c>
      <c r="DU11" s="48">
        <f t="shared" si="24"/>
        <v>6201288026.8699999</v>
      </c>
      <c r="DV11" s="48">
        <f t="shared" si="24"/>
        <v>6675328768.1199999</v>
      </c>
      <c r="DW11" s="48">
        <f t="shared" si="24"/>
        <v>5557353629.5900002</v>
      </c>
      <c r="DX11" s="48">
        <f>+DX12</f>
        <v>7059285806.6999998</v>
      </c>
      <c r="DY11" s="48">
        <f>+DY12</f>
        <v>7294200969.8299999</v>
      </c>
      <c r="DZ11" s="48">
        <f>+DZ12</f>
        <v>6799831069.0299997</v>
      </c>
      <c r="EA11" s="27">
        <f>SUM(DO11:DZ11)</f>
        <v>74858310679.419998</v>
      </c>
      <c r="EB11" s="48">
        <f>+EB12</f>
        <v>6439398548.8599997</v>
      </c>
      <c r="EC11" s="48">
        <f>+EC12</f>
        <v>6051809655.4499998</v>
      </c>
      <c r="ED11" s="48">
        <f t="shared" ref="ED11:EN11" si="25">+ED12</f>
        <v>6899737995.3999996</v>
      </c>
      <c r="EE11" s="48">
        <f t="shared" si="25"/>
        <v>6761796580.0100002</v>
      </c>
      <c r="EF11" s="48">
        <f t="shared" si="25"/>
        <v>7918909513.6499996</v>
      </c>
      <c r="EG11" s="48">
        <f t="shared" si="25"/>
        <v>7226463127.4499998</v>
      </c>
      <c r="EH11" s="48">
        <f t="shared" si="25"/>
        <v>7693500996.1400003</v>
      </c>
      <c r="EI11" s="48">
        <f t="shared" si="25"/>
        <v>7890590054.2200003</v>
      </c>
      <c r="EJ11" s="48">
        <f t="shared" si="25"/>
        <v>6649365241.9399996</v>
      </c>
      <c r="EK11" s="48">
        <f t="shared" si="25"/>
        <v>8692739691.8500004</v>
      </c>
      <c r="EL11" s="48">
        <f t="shared" si="25"/>
        <v>8313776480.71</v>
      </c>
      <c r="EM11" s="48">
        <f t="shared" si="25"/>
        <v>7524772662.6899996</v>
      </c>
      <c r="EN11" s="47">
        <f t="shared" si="25"/>
        <v>88062860548.37001</v>
      </c>
      <c r="EO11" s="48">
        <f t="shared" ref="EO11:FP11" si="26">+EO12</f>
        <v>7646896854.9799995</v>
      </c>
      <c r="EP11" s="48">
        <f t="shared" si="26"/>
        <v>6473770151.5100002</v>
      </c>
      <c r="EQ11" s="48">
        <f t="shared" si="26"/>
        <v>7342140316.8500004</v>
      </c>
      <c r="ER11" s="48">
        <f t="shared" si="26"/>
        <v>7056616556.8500004</v>
      </c>
      <c r="ES11" s="48">
        <f t="shared" si="26"/>
        <v>8572369737.54</v>
      </c>
      <c r="ET11" s="48">
        <f t="shared" si="26"/>
        <v>7187793699.8400002</v>
      </c>
      <c r="EU11" s="48">
        <f t="shared" si="26"/>
        <v>8528733336.9300003</v>
      </c>
      <c r="EV11" s="48">
        <f t="shared" si="26"/>
        <v>8158946705.71</v>
      </c>
      <c r="EW11" s="48">
        <f t="shared" si="26"/>
        <v>7477511594.29</v>
      </c>
      <c r="EX11" s="48">
        <f t="shared" si="26"/>
        <v>9123072701.4200001</v>
      </c>
      <c r="EY11" s="48">
        <f t="shared" si="26"/>
        <v>8342395618.3299999</v>
      </c>
      <c r="EZ11" s="48">
        <f t="shared" si="26"/>
        <v>7808162463.3900003</v>
      </c>
      <c r="FA11" s="47">
        <f t="shared" ref="FA11:FA37" si="27">+SUM(EO11:EZ11)</f>
        <v>93718409737.640015</v>
      </c>
      <c r="FB11" s="48">
        <f t="shared" si="26"/>
        <v>7844833362.1099997</v>
      </c>
      <c r="FC11" s="48">
        <f t="shared" si="26"/>
        <v>6767952605.9499998</v>
      </c>
      <c r="FD11" s="48">
        <f t="shared" si="26"/>
        <v>6546878761.29</v>
      </c>
      <c r="FE11" s="48">
        <f t="shared" si="26"/>
        <v>4512890030.5</v>
      </c>
      <c r="FF11" s="48">
        <f t="shared" si="26"/>
        <v>4429112370.3900003</v>
      </c>
      <c r="FG11" s="48">
        <f t="shared" si="26"/>
        <v>5399103219.5500002</v>
      </c>
      <c r="FH11" s="48">
        <f t="shared" si="26"/>
        <v>6417060343.4300003</v>
      </c>
      <c r="FI11" s="48">
        <f t="shared" si="26"/>
        <v>6472426814.7600002</v>
      </c>
      <c r="FJ11" s="48">
        <f t="shared" si="26"/>
        <v>7140452937.46</v>
      </c>
      <c r="FK11" s="48">
        <f t="shared" si="26"/>
        <v>8298981074.0299997</v>
      </c>
      <c r="FL11" s="48">
        <f t="shared" si="26"/>
        <v>8792179158.7000008</v>
      </c>
      <c r="FM11" s="48">
        <f t="shared" si="26"/>
        <v>9469780234.2600002</v>
      </c>
      <c r="FN11" s="47">
        <f t="shared" ref="FN11:FN37" si="28">+SUM(FB11:FM11)</f>
        <v>82091650912.429993</v>
      </c>
      <c r="FO11" s="48">
        <f t="shared" si="26"/>
        <v>7976404500.6300001</v>
      </c>
      <c r="FP11" s="48">
        <f t="shared" si="26"/>
        <v>8538847960.79</v>
      </c>
      <c r="FQ11" s="48">
        <f>+FQ12</f>
        <v>9633074025.8700008</v>
      </c>
      <c r="FR11" s="48">
        <v>9039430611.6800003</v>
      </c>
      <c r="FS11" s="48">
        <v>10820257034.639999</v>
      </c>
      <c r="FT11" s="48">
        <f t="shared" ref="FT11:FZ11" si="29">+FT12</f>
        <v>10453768861.879999</v>
      </c>
      <c r="FU11" s="48">
        <f t="shared" si="29"/>
        <v>10262662113.809999</v>
      </c>
      <c r="FV11" s="48">
        <f t="shared" si="29"/>
        <v>10164046742.059999</v>
      </c>
      <c r="FW11" s="48">
        <f t="shared" si="29"/>
        <v>10403277142.879999</v>
      </c>
      <c r="FX11" s="48">
        <f t="shared" si="29"/>
        <v>12296371575.93</v>
      </c>
      <c r="FY11" s="48">
        <f t="shared" si="29"/>
        <v>13637406915.73</v>
      </c>
      <c r="FZ11" s="48">
        <f t="shared" si="29"/>
        <v>11802090562.92</v>
      </c>
      <c r="GA11" s="68">
        <f t="shared" ref="GA11:GA33" si="30">+SUM(FO11:FZ11)</f>
        <v>125027638048.82001</v>
      </c>
      <c r="GB11" s="48">
        <f t="shared" ref="GB11:GJ11" si="31">+GB12</f>
        <v>11744594680.43</v>
      </c>
      <c r="GC11" s="48">
        <f t="shared" si="31"/>
        <v>11918845993.370001</v>
      </c>
      <c r="GD11" s="48">
        <f t="shared" si="31"/>
        <v>12451552596.139999</v>
      </c>
      <c r="GE11" s="48">
        <f t="shared" si="31"/>
        <v>11048690283.58</v>
      </c>
      <c r="GF11" s="48">
        <f t="shared" si="31"/>
        <v>12753471467.4</v>
      </c>
      <c r="GG11" s="48">
        <f t="shared" si="31"/>
        <v>13919528415.620001</v>
      </c>
      <c r="GH11" s="48">
        <f t="shared" si="31"/>
        <v>12816651904.85</v>
      </c>
      <c r="GI11" s="48">
        <f t="shared" si="31"/>
        <v>14542854623.73</v>
      </c>
      <c r="GJ11" s="48">
        <f t="shared" si="31"/>
        <v>13751040841.49</v>
      </c>
      <c r="GK11" s="48">
        <f>+GK12</f>
        <v>12759876402.23</v>
      </c>
      <c r="GL11" s="48">
        <f>GL12</f>
        <v>12176244799.33</v>
      </c>
      <c r="GM11" s="48">
        <f>GM12</f>
        <v>11696815698.379999</v>
      </c>
      <c r="GN11" s="68">
        <v>151580167706.55002</v>
      </c>
      <c r="GO11" s="48">
        <f>GO12</f>
        <v>11788038119.43</v>
      </c>
      <c r="GP11" s="48">
        <f>GP12</f>
        <v>10998097403.379999</v>
      </c>
      <c r="GQ11" s="48">
        <f>+GQ12</f>
        <v>12652375711.75</v>
      </c>
      <c r="GR11" s="80">
        <v>11007432383.379999</v>
      </c>
      <c r="GS11" s="48">
        <f>+GS12</f>
        <v>12549006982.389999</v>
      </c>
      <c r="GT11" s="85">
        <v>11983823967.07</v>
      </c>
      <c r="GU11" s="85">
        <f>+GU12</f>
        <v>12639714969.559999</v>
      </c>
      <c r="GV11" s="85">
        <f>+GV12</f>
        <v>12558353053.24</v>
      </c>
      <c r="GW11" s="85">
        <f>+GW12</f>
        <v>12810037139.74</v>
      </c>
      <c r="GX11" s="85">
        <f>+GX12</f>
        <v>13720711150.309999</v>
      </c>
      <c r="GY11" s="85">
        <v>13782160748.49</v>
      </c>
      <c r="GZ11" s="85">
        <v>11615667263.860001</v>
      </c>
      <c r="HA11" s="68">
        <f>SUM(GO11:GZ11)</f>
        <v>148105418892.60001</v>
      </c>
      <c r="HB11" s="85">
        <v>12143849140.950001</v>
      </c>
      <c r="HC11" s="85">
        <f t="shared" ref="HC11:HG11" si="32">+HC12</f>
        <v>11627286278.719999</v>
      </c>
      <c r="HD11" s="85">
        <f t="shared" si="32"/>
        <v>12121531934.870001</v>
      </c>
      <c r="HE11" s="85">
        <f t="shared" si="32"/>
        <v>13533488582.42</v>
      </c>
      <c r="HF11" s="85">
        <f t="shared" si="32"/>
        <v>14109582204.16</v>
      </c>
      <c r="HG11" s="85">
        <f t="shared" si="32"/>
        <v>13452283129.99</v>
      </c>
      <c r="HH11" s="85">
        <f t="shared" ref="HH11:HM11" si="33">+HH12</f>
        <v>15213975794.17</v>
      </c>
      <c r="HI11" s="85">
        <f t="shared" si="33"/>
        <v>14723417506.83</v>
      </c>
      <c r="HJ11" s="85">
        <f t="shared" si="33"/>
        <v>15003784718.030001</v>
      </c>
      <c r="HK11" s="85">
        <f t="shared" si="33"/>
        <v>16077062669.99</v>
      </c>
      <c r="HL11" s="85">
        <f t="shared" si="33"/>
        <v>14969012399.25</v>
      </c>
      <c r="HM11" s="85">
        <f t="shared" si="33"/>
        <v>14162812123.52</v>
      </c>
      <c r="HN11" s="68">
        <f t="shared" si="12"/>
        <v>167138086482.89999</v>
      </c>
      <c r="HO11" s="85">
        <f>+HO12</f>
        <v>13284286157.799999</v>
      </c>
      <c r="HP11" s="85">
        <f>+HP12</f>
        <v>13018368315.91</v>
      </c>
      <c r="HQ11" s="85">
        <f t="shared" ref="HQ11:HR11" si="34">+HQ12</f>
        <v>14741721045.209999</v>
      </c>
      <c r="HR11" s="85">
        <f t="shared" si="34"/>
        <v>14306799679.469999</v>
      </c>
      <c r="HS11" s="85">
        <f>+HS12</f>
        <v>14275623245.41</v>
      </c>
      <c r="HT11" s="85">
        <f t="shared" ref="HT11:HZ11" si="35">HT12</f>
        <v>13740110588.790001</v>
      </c>
      <c r="HU11" s="85">
        <f t="shared" si="35"/>
        <v>15173703119</v>
      </c>
      <c r="HV11" s="85">
        <f t="shared" si="35"/>
        <v>14719203108.139999</v>
      </c>
      <c r="HW11" s="85">
        <f t="shared" si="35"/>
        <v>15082351591.190001</v>
      </c>
      <c r="HX11" s="85">
        <f t="shared" si="35"/>
        <v>15516535747.66</v>
      </c>
      <c r="HY11" s="85">
        <f t="shared" si="35"/>
        <v>13865977904.77</v>
      </c>
      <c r="HZ11" s="85">
        <f t="shared" si="35"/>
        <v>15561113243.58</v>
      </c>
      <c r="IA11" s="68">
        <f t="shared" ref="IA11:IA19" si="36">SUM(HO11:HZ11)</f>
        <v>173285793746.92996</v>
      </c>
      <c r="IB11" s="85">
        <f>IB12</f>
        <v>13956247331.08</v>
      </c>
      <c r="IC11" s="85">
        <f t="shared" ref="IC11:IE11" si="37">IC12</f>
        <v>12172926758.51</v>
      </c>
      <c r="ID11" s="85">
        <f t="shared" si="37"/>
        <v>15252681713.35</v>
      </c>
      <c r="IE11" s="85">
        <f t="shared" si="37"/>
        <v>14022444873.83</v>
      </c>
      <c r="IF11" s="85">
        <f>IF12</f>
        <v>13663648954.969999</v>
      </c>
      <c r="IG11" s="85">
        <f>IG12</f>
        <v>16136877470.57</v>
      </c>
      <c r="IH11" s="85">
        <f>IH12</f>
        <v>15205442101.790001</v>
      </c>
      <c r="II11" s="85">
        <f>II12</f>
        <v>14438814666.780001</v>
      </c>
      <c r="IJ11" s="68">
        <f t="shared" ref="IJ11:IJ19" si="38">SUM(IB11:II11)</f>
        <v>114849083870.88</v>
      </c>
    </row>
    <row r="12" spans="1:244" s="11" customFormat="1" ht="18.75" x14ac:dyDescent="0.3">
      <c r="A12" s="5" t="s">
        <v>22</v>
      </c>
      <c r="B12" s="18">
        <v>2989175812.6599998</v>
      </c>
      <c r="C12" s="19">
        <v>2619202579.6599998</v>
      </c>
      <c r="D12" s="19">
        <v>2799641269.6100001</v>
      </c>
      <c r="E12" s="19">
        <v>2912426560.3600001</v>
      </c>
      <c r="F12" s="19">
        <v>3140533664.8400002</v>
      </c>
      <c r="G12" s="19">
        <v>2930410450.4499998</v>
      </c>
      <c r="H12" s="19">
        <v>3086387226.3800001</v>
      </c>
      <c r="I12" s="19">
        <v>2835628859.48</v>
      </c>
      <c r="J12" s="19">
        <v>2520662904.8699999</v>
      </c>
      <c r="K12" s="19">
        <v>2815889763.4299998</v>
      </c>
      <c r="L12" s="19">
        <v>2566921037.0100002</v>
      </c>
      <c r="M12" s="19">
        <v>2897705604.1399999</v>
      </c>
      <c r="N12" s="26">
        <f t="shared" si="15"/>
        <v>34114585732.889999</v>
      </c>
      <c r="O12" s="19">
        <v>1936166787.3699999</v>
      </c>
      <c r="P12" s="19">
        <v>1951991329.9000001</v>
      </c>
      <c r="Q12" s="19">
        <v>2244147245.4400001</v>
      </c>
      <c r="R12" s="19">
        <v>2268133862.4200001</v>
      </c>
      <c r="S12" s="19">
        <v>2105498233.1099999</v>
      </c>
      <c r="T12" s="19">
        <v>2453273045.98</v>
      </c>
      <c r="U12" s="19">
        <v>2432970458.5700002</v>
      </c>
      <c r="V12" s="19">
        <v>2253230781.2600002</v>
      </c>
      <c r="W12" s="19">
        <v>2240346453.9699998</v>
      </c>
      <c r="X12" s="19">
        <v>2616852025.0100002</v>
      </c>
      <c r="Y12" s="19">
        <v>2567579731.2800002</v>
      </c>
      <c r="Z12" s="19">
        <v>2731367223.6300001</v>
      </c>
      <c r="AA12" s="26">
        <f t="shared" si="16"/>
        <v>27801557177.939999</v>
      </c>
      <c r="AB12" s="19">
        <v>2038394921.4400001</v>
      </c>
      <c r="AC12" s="19">
        <v>2097307180.4400001</v>
      </c>
      <c r="AD12" s="19">
        <v>2905305389.2800002</v>
      </c>
      <c r="AE12" s="19">
        <v>2720122157.0900002</v>
      </c>
      <c r="AF12" s="19">
        <v>2803749296.0100002</v>
      </c>
      <c r="AG12" s="19">
        <v>2932422576.1700001</v>
      </c>
      <c r="AH12" s="19">
        <v>3027876360.3899999</v>
      </c>
      <c r="AI12" s="19">
        <v>3294579668.6100001</v>
      </c>
      <c r="AJ12" s="19">
        <v>3529404243.7199998</v>
      </c>
      <c r="AK12" s="19">
        <v>3742192251.8299999</v>
      </c>
      <c r="AL12" s="19">
        <v>3723007847.7600002</v>
      </c>
      <c r="AM12" s="19">
        <v>3702544295.0300002</v>
      </c>
      <c r="AN12" s="26">
        <v>36516906187.770004</v>
      </c>
      <c r="AO12" s="19">
        <v>2865850872.3699999</v>
      </c>
      <c r="AP12" s="19">
        <v>3138676467.5500002</v>
      </c>
      <c r="AQ12" s="19">
        <v>3575147316.46</v>
      </c>
      <c r="AR12" s="19">
        <v>3547924012.8099999</v>
      </c>
      <c r="AS12" s="19">
        <v>3999475075.8000002</v>
      </c>
      <c r="AT12" s="19">
        <v>3574028002.5999999</v>
      </c>
      <c r="AU12" s="19">
        <v>4107733279.75</v>
      </c>
      <c r="AV12" s="19">
        <v>3574619702.5599999</v>
      </c>
      <c r="AW12" s="19">
        <v>3589706052.1500001</v>
      </c>
      <c r="AX12" s="19">
        <v>3700351097.02</v>
      </c>
      <c r="AY12" s="19">
        <v>4016529884.7199998</v>
      </c>
      <c r="AZ12" s="19">
        <v>3552935269.29</v>
      </c>
      <c r="BA12" s="26">
        <f t="shared" si="17"/>
        <v>43242977033.080002</v>
      </c>
      <c r="BB12" s="19">
        <v>2690378234.0799999</v>
      </c>
      <c r="BC12" s="19">
        <v>2911558916.5700002</v>
      </c>
      <c r="BD12" s="19">
        <v>3259708015.4000001</v>
      </c>
      <c r="BE12" s="19">
        <v>2746448894.96</v>
      </c>
      <c r="BF12" s="19">
        <v>3435996759.1399999</v>
      </c>
      <c r="BG12" s="19">
        <v>3038049060.2199998</v>
      </c>
      <c r="BH12" s="19">
        <v>3480945510.9400001</v>
      </c>
      <c r="BI12" s="19">
        <v>3390958686.6599998</v>
      </c>
      <c r="BJ12" s="19">
        <v>2950116018.52</v>
      </c>
      <c r="BK12" s="19">
        <v>3913350941.98</v>
      </c>
      <c r="BL12" s="19">
        <v>3808507062.9400001</v>
      </c>
      <c r="BM12" s="19">
        <v>3707246773.8099999</v>
      </c>
      <c r="BN12" s="26">
        <f t="shared" si="18"/>
        <v>39333264875.219994</v>
      </c>
      <c r="BO12" s="19">
        <v>3339466369.1100001</v>
      </c>
      <c r="BP12" s="19">
        <v>3250132526.4299998</v>
      </c>
      <c r="BQ12" s="19">
        <v>3623742516.5700002</v>
      </c>
      <c r="BR12" s="19">
        <v>3412060381.7800002</v>
      </c>
      <c r="BS12" s="19">
        <v>3748189432.2800002</v>
      </c>
      <c r="BT12" s="19">
        <v>3632356220.1900001</v>
      </c>
      <c r="BU12" s="19">
        <v>3959009333.04</v>
      </c>
      <c r="BV12" s="19">
        <v>3902474069.3499999</v>
      </c>
      <c r="BW12" s="19">
        <v>3608967816.1999998</v>
      </c>
      <c r="BX12" s="19">
        <v>4617326352.79</v>
      </c>
      <c r="BY12" s="19">
        <v>4505066333.0100002</v>
      </c>
      <c r="BZ12" s="19">
        <v>4211873077.7800002</v>
      </c>
      <c r="CA12" s="26">
        <f t="shared" si="19"/>
        <v>45810664428.529999</v>
      </c>
      <c r="CB12" s="19">
        <v>3637501354.9699998</v>
      </c>
      <c r="CC12" s="19">
        <v>3405959266.8200002</v>
      </c>
      <c r="CD12" s="19">
        <v>4188254596.1300001</v>
      </c>
      <c r="CE12" s="19">
        <v>4521434126.6300001</v>
      </c>
      <c r="CF12" s="19">
        <v>4599763333.8500004</v>
      </c>
      <c r="CG12" s="19">
        <v>4245158227.7600002</v>
      </c>
      <c r="CH12" s="19">
        <v>4708159996.5699997</v>
      </c>
      <c r="CI12" s="19">
        <v>4467307701.6499996</v>
      </c>
      <c r="CJ12" s="19">
        <v>4336879627.25</v>
      </c>
      <c r="CK12" s="19">
        <v>5344140331.3199997</v>
      </c>
      <c r="CL12" s="19">
        <v>4778734318.54</v>
      </c>
      <c r="CM12" s="19">
        <v>5133471409.9300003</v>
      </c>
      <c r="CN12" s="26">
        <f t="shared" si="20"/>
        <v>53366764291.420006</v>
      </c>
      <c r="CO12" s="19">
        <v>4299181138.1700001</v>
      </c>
      <c r="CP12" s="19">
        <v>4229035968.5599999</v>
      </c>
      <c r="CQ12" s="19">
        <v>5064437985.6099997</v>
      </c>
      <c r="CR12" s="19">
        <v>4625645055.6800003</v>
      </c>
      <c r="CS12" s="19">
        <v>5073048375.3599997</v>
      </c>
      <c r="CT12" s="19">
        <v>5060486603.2200003</v>
      </c>
      <c r="CU12" s="19">
        <v>5360385307.71</v>
      </c>
      <c r="CV12" s="19">
        <v>5057429327.8199997</v>
      </c>
      <c r="CW12" s="19">
        <v>5537865591.8800001</v>
      </c>
      <c r="CX12" s="19">
        <v>5888419547.25</v>
      </c>
      <c r="CY12" s="19">
        <v>5869776796.4099998</v>
      </c>
      <c r="CZ12" s="19">
        <v>6051142472.5799999</v>
      </c>
      <c r="DA12" s="26">
        <f t="shared" si="21"/>
        <v>62116854170.25</v>
      </c>
      <c r="DB12" s="19">
        <v>4405668074.29</v>
      </c>
      <c r="DC12" s="19">
        <v>4903297497.5500002</v>
      </c>
      <c r="DD12" s="19">
        <v>5571843383.0200005</v>
      </c>
      <c r="DE12" s="19">
        <v>5163325521.0799999</v>
      </c>
      <c r="DF12" s="19">
        <v>5458661799.1999998</v>
      </c>
      <c r="DG12" s="19">
        <v>5526048492.5600004</v>
      </c>
      <c r="DH12" s="19">
        <v>5225840140.04</v>
      </c>
      <c r="DI12" s="19">
        <v>6031302483.1999998</v>
      </c>
      <c r="DJ12" s="19">
        <v>5880153927.4799995</v>
      </c>
      <c r="DK12" s="19">
        <v>6280407829.3999996</v>
      </c>
      <c r="DL12" s="19">
        <v>6518580700.0299997</v>
      </c>
      <c r="DM12" s="19">
        <v>6197292216.3900003</v>
      </c>
      <c r="DN12" s="26">
        <f t="shared" si="23"/>
        <v>67162422064.239998</v>
      </c>
      <c r="DO12" s="49">
        <v>5396832882.0600004</v>
      </c>
      <c r="DP12" s="49">
        <v>5364916926.96</v>
      </c>
      <c r="DQ12" s="49">
        <v>6196989277.5600004</v>
      </c>
      <c r="DR12" s="49">
        <v>5659979392.3800001</v>
      </c>
      <c r="DS12" s="49">
        <v>6521250549.6199999</v>
      </c>
      <c r="DT12" s="49">
        <v>6131053380.6999998</v>
      </c>
      <c r="DU12" s="49">
        <v>6201288026.8699999</v>
      </c>
      <c r="DV12" s="49">
        <v>6675328768.1199999</v>
      </c>
      <c r="DW12" s="49">
        <v>5557353629.5900002</v>
      </c>
      <c r="DX12" s="49">
        <v>7059285806.6999998</v>
      </c>
      <c r="DY12" s="49">
        <v>7294200969.8299999</v>
      </c>
      <c r="DZ12" s="49">
        <v>6799831069.0299997</v>
      </c>
      <c r="EA12" s="27">
        <f>SUM(DO12:DZ12)</f>
        <v>74858310679.419998</v>
      </c>
      <c r="EB12" s="49">
        <v>6439398548.8599997</v>
      </c>
      <c r="EC12" s="49">
        <v>6051809655.4499998</v>
      </c>
      <c r="ED12" s="49">
        <v>6899737995.3999996</v>
      </c>
      <c r="EE12" s="49">
        <v>6761796580.0100002</v>
      </c>
      <c r="EF12" s="49">
        <v>7918909513.6499996</v>
      </c>
      <c r="EG12" s="49">
        <v>7226463127.4499998</v>
      </c>
      <c r="EH12" s="49">
        <v>7693500996.1400003</v>
      </c>
      <c r="EI12" s="49">
        <v>7890590054.2200003</v>
      </c>
      <c r="EJ12" s="49">
        <v>6649365241.9399996</v>
      </c>
      <c r="EK12" s="49">
        <v>8692739691.8500004</v>
      </c>
      <c r="EL12" s="49">
        <v>8313776480.71</v>
      </c>
      <c r="EM12" s="49">
        <v>7524772662.6899996</v>
      </c>
      <c r="EN12" s="63">
        <f t="shared" ref="EN12:EN33" si="39">SUM(EB12:EM12)</f>
        <v>88062860548.37001</v>
      </c>
      <c r="EO12" s="49">
        <v>7646896854.9799995</v>
      </c>
      <c r="EP12" s="49">
        <v>6473770151.5100002</v>
      </c>
      <c r="EQ12" s="49">
        <v>7342140316.8500004</v>
      </c>
      <c r="ER12" s="49">
        <v>7056616556.8500004</v>
      </c>
      <c r="ES12" s="49">
        <v>8572369737.54</v>
      </c>
      <c r="ET12" s="49">
        <v>7187793699.8400002</v>
      </c>
      <c r="EU12" s="49">
        <v>8528733336.9300003</v>
      </c>
      <c r="EV12" s="49">
        <v>8158946705.71</v>
      </c>
      <c r="EW12" s="49">
        <v>7477511594.29</v>
      </c>
      <c r="EX12" s="49">
        <v>9123072701.4200001</v>
      </c>
      <c r="EY12" s="49">
        <v>8342395618.3299999</v>
      </c>
      <c r="EZ12" s="49">
        <v>7808162463.3900003</v>
      </c>
      <c r="FA12" s="63">
        <f t="shared" si="27"/>
        <v>93718409737.640015</v>
      </c>
      <c r="FB12" s="49">
        <v>7844833362.1099997</v>
      </c>
      <c r="FC12" s="49">
        <v>6767952605.9499998</v>
      </c>
      <c r="FD12" s="49">
        <v>6546878761.29</v>
      </c>
      <c r="FE12" s="49">
        <v>4512890030.5</v>
      </c>
      <c r="FF12" s="49">
        <v>4429112370.3900003</v>
      </c>
      <c r="FG12" s="49">
        <v>5399103219.5500002</v>
      </c>
      <c r="FH12" s="49">
        <v>6417060343.4300003</v>
      </c>
      <c r="FI12" s="49">
        <v>6472426814.7600002</v>
      </c>
      <c r="FJ12" s="49">
        <v>7140452937.46</v>
      </c>
      <c r="FK12" s="49">
        <v>8298981074.0299997</v>
      </c>
      <c r="FL12" s="49">
        <v>8792179158.7000008</v>
      </c>
      <c r="FM12" s="49">
        <v>9469780234.2600002</v>
      </c>
      <c r="FN12" s="63">
        <f t="shared" si="28"/>
        <v>82091650912.429993</v>
      </c>
      <c r="FO12" s="49">
        <v>7976404500.6300001</v>
      </c>
      <c r="FP12" s="49">
        <v>8538847960.79</v>
      </c>
      <c r="FQ12" s="49">
        <v>9633074025.8700008</v>
      </c>
      <c r="FR12" s="49">
        <v>9039430611.6800003</v>
      </c>
      <c r="FS12" s="49">
        <v>10820257034.639999</v>
      </c>
      <c r="FT12" s="49">
        <v>10453768861.879999</v>
      </c>
      <c r="FU12" s="49">
        <v>10262662113.809999</v>
      </c>
      <c r="FV12" s="49">
        <v>10164046742.059999</v>
      </c>
      <c r="FW12" s="49">
        <v>10403277142.879999</v>
      </c>
      <c r="FX12" s="49">
        <v>12296371575.93</v>
      </c>
      <c r="FY12" s="49">
        <v>13637406915.73</v>
      </c>
      <c r="FZ12" s="49">
        <v>11802090562.92</v>
      </c>
      <c r="GA12" s="68">
        <f t="shared" si="30"/>
        <v>125027638048.82001</v>
      </c>
      <c r="GB12" s="49">
        <v>11744594680.43</v>
      </c>
      <c r="GC12" s="49">
        <v>11918845993.370001</v>
      </c>
      <c r="GD12" s="49">
        <v>12451552596.139999</v>
      </c>
      <c r="GE12" s="49">
        <v>11048690283.58</v>
      </c>
      <c r="GF12" s="49">
        <v>12753471467.4</v>
      </c>
      <c r="GG12" s="49">
        <v>13919528415.620001</v>
      </c>
      <c r="GH12" s="49">
        <v>12816651904.85</v>
      </c>
      <c r="GI12" s="49">
        <v>14542854623.73</v>
      </c>
      <c r="GJ12" s="49">
        <v>13751040841.49</v>
      </c>
      <c r="GK12" s="49">
        <v>12759876402.23</v>
      </c>
      <c r="GL12" s="49">
        <v>12176244799.33</v>
      </c>
      <c r="GM12" s="49">
        <v>11696815698.379999</v>
      </c>
      <c r="GN12" s="68">
        <v>151580167706.55002</v>
      </c>
      <c r="GO12" s="49">
        <v>11788038119.43</v>
      </c>
      <c r="GP12" s="49">
        <v>10998097403.379999</v>
      </c>
      <c r="GQ12" s="49">
        <v>12652375711.75</v>
      </c>
      <c r="GR12" s="81">
        <v>11007432383.379999</v>
      </c>
      <c r="GS12" s="49">
        <v>12549006982.389999</v>
      </c>
      <c r="GT12" s="86">
        <v>11983823967.07</v>
      </c>
      <c r="GU12" s="86">
        <v>12639714969.559999</v>
      </c>
      <c r="GV12" s="86">
        <v>12558353053.24</v>
      </c>
      <c r="GW12" s="86">
        <v>12810037139.74</v>
      </c>
      <c r="GX12" s="86">
        <v>13720711150.309999</v>
      </c>
      <c r="GY12" s="86">
        <v>13782160748.49</v>
      </c>
      <c r="GZ12" s="86">
        <v>11615667263.860001</v>
      </c>
      <c r="HA12" s="68">
        <f t="shared" ref="HA12:HA19" si="40">SUM(GO12:GZ12)</f>
        <v>148105418892.60001</v>
      </c>
      <c r="HB12" s="86">
        <v>12143849140.950001</v>
      </c>
      <c r="HC12" s="86">
        <v>11627286278.719999</v>
      </c>
      <c r="HD12" s="86">
        <v>12121531934.870001</v>
      </c>
      <c r="HE12" s="86">
        <v>13533488582.42</v>
      </c>
      <c r="HF12" s="86">
        <v>14109582204.16</v>
      </c>
      <c r="HG12" s="86">
        <v>13452283129.99</v>
      </c>
      <c r="HH12" s="86">
        <v>15213975794.17</v>
      </c>
      <c r="HI12" s="86">
        <f>14723417506.83</f>
        <v>14723417506.83</v>
      </c>
      <c r="HJ12" s="86">
        <v>15003784718.030001</v>
      </c>
      <c r="HK12" s="86">
        <v>16077062669.99</v>
      </c>
      <c r="HL12" s="86">
        <v>14969012399.25</v>
      </c>
      <c r="HM12" s="86">
        <v>14162812123.52</v>
      </c>
      <c r="HN12" s="68">
        <f t="shared" si="12"/>
        <v>167138086482.89999</v>
      </c>
      <c r="HO12" s="86">
        <v>13284286157.799999</v>
      </c>
      <c r="HP12" s="86">
        <v>13018368315.91</v>
      </c>
      <c r="HQ12" s="86">
        <v>14741721045.209999</v>
      </c>
      <c r="HR12" s="86">
        <v>14306799679.469999</v>
      </c>
      <c r="HS12" s="86">
        <v>14275623245.41</v>
      </c>
      <c r="HT12" s="86">
        <v>13740110588.790001</v>
      </c>
      <c r="HU12" s="86">
        <v>15173703119</v>
      </c>
      <c r="HV12" s="86">
        <v>14719203108.139999</v>
      </c>
      <c r="HW12" s="86">
        <v>15082351591.190001</v>
      </c>
      <c r="HX12" s="86">
        <v>15516535747.66</v>
      </c>
      <c r="HY12" s="86">
        <v>13865977904.77</v>
      </c>
      <c r="HZ12" s="86">
        <v>15561113243.58</v>
      </c>
      <c r="IA12" s="68">
        <f ca="1">SUM(HO12:IB12)</f>
        <v>187242041078.00995</v>
      </c>
      <c r="IB12" s="86">
        <v>13956247331.08</v>
      </c>
      <c r="IC12" s="86">
        <v>12172926758.51</v>
      </c>
      <c r="ID12" s="86">
        <v>15252681713.35</v>
      </c>
      <c r="IE12" s="86">
        <v>14022444873.83</v>
      </c>
      <c r="IF12" s="86">
        <v>13663648954.969999</v>
      </c>
      <c r="IG12" s="86">
        <v>16136877470.57</v>
      </c>
      <c r="IH12" s="86">
        <v>15205442101.790001</v>
      </c>
      <c r="II12" s="86">
        <v>14438814666.780001</v>
      </c>
      <c r="IJ12" s="68">
        <f t="shared" si="38"/>
        <v>114849083870.88</v>
      </c>
    </row>
    <row r="13" spans="1:244" s="11" customFormat="1" ht="18.75" x14ac:dyDescent="0.3">
      <c r="A13" s="6" t="s">
        <v>23</v>
      </c>
      <c r="B13" s="20">
        <v>134453671.63</v>
      </c>
      <c r="C13" s="21">
        <v>142109873.34</v>
      </c>
      <c r="D13" s="21">
        <v>152386022.58000001</v>
      </c>
      <c r="E13" s="21">
        <v>186669822.06</v>
      </c>
      <c r="F13" s="21">
        <v>171870477.46000001</v>
      </c>
      <c r="G13" s="21">
        <v>180106505.43000004</v>
      </c>
      <c r="H13" s="21">
        <v>160897226.83999997</v>
      </c>
      <c r="I13" s="21">
        <v>170283476.69999999</v>
      </c>
      <c r="J13" s="21">
        <v>171284783.01999998</v>
      </c>
      <c r="K13" s="21">
        <v>211319482.91</v>
      </c>
      <c r="L13" s="21">
        <v>214208754.29000002</v>
      </c>
      <c r="M13" s="21">
        <v>316646813.04000002</v>
      </c>
      <c r="N13" s="26">
        <f t="shared" si="15"/>
        <v>2212236909.3000002</v>
      </c>
      <c r="O13" s="21">
        <v>122909981.3</v>
      </c>
      <c r="P13" s="21">
        <v>103414132.59999999</v>
      </c>
      <c r="Q13" s="21">
        <v>139229893.13</v>
      </c>
      <c r="R13" s="21">
        <v>133032833.75999999</v>
      </c>
      <c r="S13" s="21">
        <v>136997678.78999999</v>
      </c>
      <c r="T13" s="21">
        <v>195547696.71999997</v>
      </c>
      <c r="U13" s="21">
        <v>197335976.42000002</v>
      </c>
      <c r="V13" s="21">
        <v>168801146.97000003</v>
      </c>
      <c r="W13" s="21">
        <v>206984642.97999999</v>
      </c>
      <c r="X13" s="21">
        <v>309860819.10000002</v>
      </c>
      <c r="Y13" s="21">
        <v>286804096.83000004</v>
      </c>
      <c r="Z13" s="21">
        <v>386966409.75999993</v>
      </c>
      <c r="AA13" s="26">
        <f t="shared" si="16"/>
        <v>2387885308.3599997</v>
      </c>
      <c r="AB13" s="21">
        <v>199246658.56999999</v>
      </c>
      <c r="AC13" s="21">
        <v>155710588.28</v>
      </c>
      <c r="AD13" s="21">
        <v>228021261.72</v>
      </c>
      <c r="AE13" s="21">
        <v>147082465.55000001</v>
      </c>
      <c r="AF13" s="21">
        <v>200183718.41999999</v>
      </c>
      <c r="AG13" s="21">
        <v>220298334.94</v>
      </c>
      <c r="AH13" s="21">
        <v>209327274.56999999</v>
      </c>
      <c r="AI13" s="21">
        <v>203455421.92000002</v>
      </c>
      <c r="AJ13" s="21">
        <v>274950405.04000002</v>
      </c>
      <c r="AK13" s="21">
        <v>379740260.92000002</v>
      </c>
      <c r="AL13" s="21">
        <v>348867540</v>
      </c>
      <c r="AM13" s="21">
        <v>336129526.43000001</v>
      </c>
      <c r="AN13" s="26">
        <v>2903013456.3599997</v>
      </c>
      <c r="AO13" s="21">
        <v>188996605.10999998</v>
      </c>
      <c r="AP13" s="21">
        <v>168167492.10000002</v>
      </c>
      <c r="AQ13" s="21">
        <v>250655264.81</v>
      </c>
      <c r="AR13" s="21">
        <v>280165986.86000001</v>
      </c>
      <c r="AS13" s="21">
        <v>321517114.41000003</v>
      </c>
      <c r="AT13" s="21">
        <v>287018584.81</v>
      </c>
      <c r="AU13" s="21">
        <v>226213839.13</v>
      </c>
      <c r="AV13" s="21">
        <v>247681528.65000001</v>
      </c>
      <c r="AW13" s="21">
        <v>283912264.86000001</v>
      </c>
      <c r="AX13" s="21">
        <v>357012614.05999994</v>
      </c>
      <c r="AY13" s="21">
        <v>481803139.86000001</v>
      </c>
      <c r="AZ13" s="21">
        <v>441715605</v>
      </c>
      <c r="BA13" s="26">
        <f t="shared" si="17"/>
        <v>3534860039.6600003</v>
      </c>
      <c r="BB13" s="21">
        <v>220892959.75</v>
      </c>
      <c r="BC13" s="21">
        <v>210906828.09</v>
      </c>
      <c r="BD13" s="21">
        <v>305562288.93000001</v>
      </c>
      <c r="BE13" s="21">
        <v>230970888.11000001</v>
      </c>
      <c r="BF13" s="21">
        <v>271589957.00999999</v>
      </c>
      <c r="BG13" s="21">
        <v>320428812.85999995</v>
      </c>
      <c r="BH13" s="21">
        <v>272468813.31999999</v>
      </c>
      <c r="BI13" s="21">
        <v>301406411.10000002</v>
      </c>
      <c r="BJ13" s="21">
        <v>326580017.97000003</v>
      </c>
      <c r="BK13" s="21">
        <v>428140824.23000002</v>
      </c>
      <c r="BL13" s="21">
        <v>625366748.18000007</v>
      </c>
      <c r="BM13" s="21">
        <v>597978208.69000006</v>
      </c>
      <c r="BN13" s="26">
        <f t="shared" si="18"/>
        <v>4112292758.2399993</v>
      </c>
      <c r="BO13" s="21">
        <v>213036478.99000001</v>
      </c>
      <c r="BP13" s="21">
        <v>251000431.15000001</v>
      </c>
      <c r="BQ13" s="21">
        <v>313620825.19</v>
      </c>
      <c r="BR13" s="21">
        <v>290945089.07000005</v>
      </c>
      <c r="BS13" s="21">
        <v>319214472.19999999</v>
      </c>
      <c r="BT13" s="21">
        <v>337132472.49000001</v>
      </c>
      <c r="BU13" s="21">
        <v>337097388.57999998</v>
      </c>
      <c r="BV13" s="21">
        <v>398673153.84999996</v>
      </c>
      <c r="BW13" s="21">
        <v>431089278.23000002</v>
      </c>
      <c r="BX13" s="21">
        <v>634603291.96000004</v>
      </c>
      <c r="BY13" s="21">
        <v>840098592.00999999</v>
      </c>
      <c r="BZ13" s="21">
        <v>764001042.37000012</v>
      </c>
      <c r="CA13" s="26">
        <f t="shared" si="19"/>
        <v>5130512516.0900002</v>
      </c>
      <c r="CB13" s="21">
        <v>314341165.36000001</v>
      </c>
      <c r="CC13" s="21">
        <v>280748013.54999995</v>
      </c>
      <c r="CD13" s="21">
        <v>354411269.39000005</v>
      </c>
      <c r="CE13" s="21">
        <v>618953625.70000005</v>
      </c>
      <c r="CF13" s="21">
        <v>488148675.38999999</v>
      </c>
      <c r="CG13" s="21">
        <v>494782699.25999999</v>
      </c>
      <c r="CH13" s="21">
        <v>408278875.57999998</v>
      </c>
      <c r="CI13" s="21">
        <v>393124963.35999995</v>
      </c>
      <c r="CJ13" s="21">
        <v>557540087.05999994</v>
      </c>
      <c r="CK13" s="21">
        <v>762089044.75</v>
      </c>
      <c r="CL13" s="21">
        <v>757966831.13</v>
      </c>
      <c r="CM13" s="21">
        <v>591462728.78999996</v>
      </c>
      <c r="CN13" s="26">
        <f t="shared" si="20"/>
        <v>6021847979.3199997</v>
      </c>
      <c r="CO13" s="21">
        <v>427769456.06999999</v>
      </c>
      <c r="CP13" s="21">
        <v>436918962.50999999</v>
      </c>
      <c r="CQ13" s="21">
        <v>517282021.13999999</v>
      </c>
      <c r="CR13" s="21">
        <v>418944396.64999998</v>
      </c>
      <c r="CS13" s="21">
        <v>511534595.27999997</v>
      </c>
      <c r="CT13" s="21">
        <v>554127505.76999998</v>
      </c>
      <c r="CU13" s="21">
        <v>555378128.03999996</v>
      </c>
      <c r="CV13" s="21">
        <v>558253070.19000006</v>
      </c>
      <c r="CW13" s="21">
        <v>706477220.05999994</v>
      </c>
      <c r="CX13" s="21">
        <v>930932692.67999995</v>
      </c>
      <c r="CY13" s="21">
        <v>843540050.34000003</v>
      </c>
      <c r="CZ13" s="21">
        <v>841971640.94999993</v>
      </c>
      <c r="DA13" s="26">
        <f t="shared" si="21"/>
        <v>7303129739.6799994</v>
      </c>
      <c r="DB13" s="21">
        <v>415051104.37</v>
      </c>
      <c r="DC13" s="21">
        <v>431897897.06999999</v>
      </c>
      <c r="DD13" s="21">
        <v>502377073.15999997</v>
      </c>
      <c r="DE13" s="21">
        <f>+SUM(DE14:DE17)</f>
        <v>510520701.35999995</v>
      </c>
      <c r="DF13" s="21">
        <f>+SUM(DF14:DF17)</f>
        <v>446720725.32999998</v>
      </c>
      <c r="DG13" s="21">
        <v>627012046.43000007</v>
      </c>
      <c r="DH13" s="21">
        <f>+DH14+DH15+DH16+DH17</f>
        <v>418879745.80000001</v>
      </c>
      <c r="DI13" s="21">
        <f t="shared" ref="DI13" si="41">+SUM(DI14:DI18)</f>
        <v>625341367.37</v>
      </c>
      <c r="DJ13" s="17">
        <f t="shared" ref="DJ13" si="42">+SUM(DJ14:DJ18)</f>
        <v>600640635.06999993</v>
      </c>
      <c r="DK13" s="17">
        <f t="shared" ref="DK13" si="43">+SUM(DK14:DK18)</f>
        <v>1074747487.04</v>
      </c>
      <c r="DL13" s="17">
        <f t="shared" ref="DL13" si="44">+SUM(DL14:DL18)</f>
        <v>1111639680.45</v>
      </c>
      <c r="DM13" s="17">
        <f t="shared" ref="DM13" si="45">+SUM(DM14:DM18)</f>
        <v>826188982.52999997</v>
      </c>
      <c r="DN13" s="26">
        <f t="shared" ref="DN13" si="46">+SUM(DN14:DN18)</f>
        <v>7591017445.9800014</v>
      </c>
      <c r="DO13" s="48">
        <f t="shared" ref="DO13" si="47">+SUM(DO14:DO18)</f>
        <v>759885587.3900001</v>
      </c>
      <c r="DP13" s="48">
        <f t="shared" ref="DP13" si="48">+SUM(DP14:DP18)</f>
        <v>523644205.52999997</v>
      </c>
      <c r="DQ13" s="48">
        <f t="shared" ref="DQ13" si="49">+SUM(DQ14:DQ18)</f>
        <v>655131424.83999991</v>
      </c>
      <c r="DR13" s="48">
        <f t="shared" ref="DR13" si="50">+SUM(DR14:DR18)</f>
        <v>470181002.88</v>
      </c>
      <c r="DS13" s="48">
        <f t="shared" ref="DS13" si="51">+SUM(DS14:DS18)</f>
        <v>694484467.84000003</v>
      </c>
      <c r="DT13" s="48">
        <f t="shared" ref="DT13" si="52">+SUM(DT14:DT18)</f>
        <v>532212157.20999998</v>
      </c>
      <c r="DU13" s="48">
        <f t="shared" ref="DU13" si="53">+SUM(DU14:DU18)</f>
        <v>778609400.61000001</v>
      </c>
      <c r="DV13" s="48">
        <f t="shared" ref="DV13" si="54">+SUM(DV14:DV18)</f>
        <v>1036878800.36</v>
      </c>
      <c r="DW13" s="48">
        <f t="shared" ref="DW13" si="55">+SUM(DW14:DW18)</f>
        <v>957175122.3499999</v>
      </c>
      <c r="DX13" s="48">
        <f t="shared" ref="DX13" si="56">+SUM(DX14:DX18)</f>
        <v>1407655689.1799998</v>
      </c>
      <c r="DY13" s="48">
        <f t="shared" ref="DY13" si="57">+SUM(DY14:DY18)</f>
        <v>1607932208.55</v>
      </c>
      <c r="DZ13" s="48">
        <f t="shared" ref="DZ13" si="58">+SUM(DZ14:DZ18)</f>
        <v>1040208058.28</v>
      </c>
      <c r="EA13" s="27">
        <f t="shared" ref="EA13" si="59">+SUM(EA14:EA18)</f>
        <v>10463998125.02</v>
      </c>
      <c r="EB13" s="48">
        <f t="shared" ref="EB13" si="60">+SUM(EB14:EB18)</f>
        <v>1110405746.3199999</v>
      </c>
      <c r="EC13" s="48">
        <f t="shared" ref="EC13" si="61">+SUM(EC14:EC18)</f>
        <v>726465660.26000011</v>
      </c>
      <c r="ED13" s="48">
        <f t="shared" ref="ED13" si="62">+SUM(ED14:ED18)</f>
        <v>1118451682.1500001</v>
      </c>
      <c r="EE13" s="48">
        <f t="shared" ref="EE13" si="63">+SUM(EE14:EE18)</f>
        <v>883864917.75999999</v>
      </c>
      <c r="EF13" s="48">
        <f t="shared" ref="EF13" si="64">+SUM(EF14:EF18)</f>
        <v>1184737958.1600001</v>
      </c>
      <c r="EG13" s="48">
        <f t="shared" ref="EG13" si="65">+SUM(EG14:EG18)</f>
        <v>1114204362.1600001</v>
      </c>
      <c r="EH13" s="48">
        <f t="shared" ref="EH13" si="66">+SUM(EH14:EH18)</f>
        <v>1196341042.0100002</v>
      </c>
      <c r="EI13" s="48">
        <f t="shared" ref="EI13" si="67">+SUM(EI14:EI18)</f>
        <v>1204421840.8400002</v>
      </c>
      <c r="EJ13" s="48">
        <f t="shared" ref="EJ13" si="68">+SUM(EJ14:EJ18)</f>
        <v>1160508853.52</v>
      </c>
      <c r="EK13" s="48">
        <f t="shared" ref="EK13" si="69">+SUM(EK14:EK18)</f>
        <v>1619507811.25</v>
      </c>
      <c r="EL13" s="48">
        <f t="shared" ref="EL13" si="70">+SUM(EL14:EL18)</f>
        <v>1704054808.6300001</v>
      </c>
      <c r="EM13" s="48">
        <f t="shared" ref="EM13" si="71">+SUM(EM14:EM18)</f>
        <v>1511975861.1600001</v>
      </c>
      <c r="EN13" s="47">
        <f t="shared" ref="EN13" si="72">+SUM(EN14:EN18)</f>
        <v>14534940544.220001</v>
      </c>
      <c r="EO13" s="48">
        <f t="shared" ref="EO13" si="73">+SUM(EO14:EO18)</f>
        <v>1111779975.3599999</v>
      </c>
      <c r="EP13" s="48">
        <f t="shared" ref="EP13" si="74">+SUM(EP14:EP18)</f>
        <v>1070481669.3600001</v>
      </c>
      <c r="EQ13" s="48">
        <f t="shared" ref="EQ13" si="75">+SUM(EQ14:EQ18)</f>
        <v>1248724485.4200001</v>
      </c>
      <c r="ER13" s="48">
        <f t="shared" ref="ER13" si="76">+SUM(ER14:ER18)</f>
        <v>1199291887.0799999</v>
      </c>
      <c r="ES13" s="48">
        <f t="shared" ref="ES13" si="77">+SUM(ES14:ES18)</f>
        <v>1269137876.54</v>
      </c>
      <c r="ET13" s="48">
        <f t="shared" ref="ET13" si="78">+SUM(ET14:ET18)</f>
        <v>1065333435.86</v>
      </c>
      <c r="EU13" s="48">
        <f t="shared" ref="EU13" si="79">+SUM(EU14:EU18)</f>
        <v>1219740881.9400001</v>
      </c>
      <c r="EV13" s="48">
        <f t="shared" ref="EV13" si="80">+SUM(EV14:EV18)</f>
        <v>1274788757.25</v>
      </c>
      <c r="EW13" s="48">
        <f t="shared" ref="EW13" si="81">+SUM(EW14:EW18)</f>
        <v>1232733003.3000002</v>
      </c>
      <c r="EX13" s="48">
        <f t="shared" ref="EX13" si="82">+SUM(EX14:EX18)</f>
        <v>1657955974.3200002</v>
      </c>
      <c r="EY13" s="48">
        <f t="shared" ref="EY13" si="83">+SUM(EY14:EY18)</f>
        <v>1628501814.24</v>
      </c>
      <c r="EZ13" s="48">
        <f t="shared" ref="EZ13" si="84">+SUM(EZ14:EZ18)</f>
        <v>1423807427.54</v>
      </c>
      <c r="FA13" s="47">
        <f t="shared" ref="FA13" si="85">+SUM(FA14:FA18)</f>
        <v>15402277188.210001</v>
      </c>
      <c r="FB13" s="48">
        <f t="shared" ref="FB13" si="86">+SUM(FB14:FB18)</f>
        <v>1172690471.79</v>
      </c>
      <c r="FC13" s="48">
        <f t="shared" ref="FC13" si="87">+SUM(FC14:FC18)</f>
        <v>1059055197.34</v>
      </c>
      <c r="FD13" s="48">
        <f t="shared" ref="FD13" si="88">+SUM(FD14:FD18)</f>
        <v>1181729781.79</v>
      </c>
      <c r="FE13" s="48">
        <f t="shared" ref="FE13" si="89">+SUM(FE14:FE18)</f>
        <v>610091143.56999993</v>
      </c>
      <c r="FF13" s="48">
        <f t="shared" ref="FF13" si="90">+SUM(FF14:FF18)</f>
        <v>661271005.57000005</v>
      </c>
      <c r="FG13" s="48">
        <f t="shared" ref="FG13" si="91">+SUM(FG14:FG18)</f>
        <v>928430205.07000005</v>
      </c>
      <c r="FH13" s="48">
        <f t="shared" ref="FH13" si="92">+SUM(FH14:FH18)</f>
        <v>1197490530.1400001</v>
      </c>
      <c r="FI13" s="48">
        <f t="shared" ref="FI13" si="93">+SUM(FI14:FI18)</f>
        <v>1207767177.0599999</v>
      </c>
      <c r="FJ13" s="48">
        <f t="shared" ref="FJ13" si="94">+SUM(FJ14:FJ18)</f>
        <v>1347059340.28</v>
      </c>
      <c r="FK13" s="48">
        <f t="shared" ref="FK13" si="95">+SUM(FK14:FK18)</f>
        <v>1794518583.3900001</v>
      </c>
      <c r="FL13" s="48">
        <f t="shared" ref="FL13" si="96">+SUM(FL14:FL18)</f>
        <v>1646055973.4599998</v>
      </c>
      <c r="FM13" s="48">
        <f t="shared" ref="FM13" si="97">+SUM(FM14:FM18)</f>
        <v>1450721162.98</v>
      </c>
      <c r="FN13" s="47">
        <f t="shared" ref="FN13" si="98">+SUM(FN14:FN18)</f>
        <v>14256880572.439999</v>
      </c>
      <c r="FO13" s="48">
        <f t="shared" ref="FO13" si="99">+SUM(FO14:FO18)</f>
        <v>1407384263.7599998</v>
      </c>
      <c r="FP13" s="48">
        <f t="shared" ref="FP13" si="100">+SUM(FP14:FP18)</f>
        <v>1125804855.3399999</v>
      </c>
      <c r="FQ13" s="48">
        <f t="shared" ref="FQ13:FZ13" si="101">+SUM(FQ14:FQ18)</f>
        <v>1330809591.9300001</v>
      </c>
      <c r="FR13" s="48">
        <f t="shared" si="101"/>
        <v>1425615164.9000001</v>
      </c>
      <c r="FS13" s="48">
        <f t="shared" si="101"/>
        <v>1435308475.03</v>
      </c>
      <c r="FT13" s="48">
        <f t="shared" si="101"/>
        <v>1429634598.3499999</v>
      </c>
      <c r="FU13" s="48">
        <f t="shared" si="101"/>
        <v>1666675757.9300001</v>
      </c>
      <c r="FV13" s="48">
        <f t="shared" si="101"/>
        <v>1739348603.26</v>
      </c>
      <c r="FW13" s="48">
        <f t="shared" si="101"/>
        <v>1842088441.4099998</v>
      </c>
      <c r="FX13" s="48">
        <f t="shared" si="101"/>
        <v>2435891000.9599996</v>
      </c>
      <c r="FY13" s="48">
        <f t="shared" si="101"/>
        <v>2445432399.6599998</v>
      </c>
      <c r="FZ13" s="48">
        <f t="shared" si="101"/>
        <v>2578478956.6399999</v>
      </c>
      <c r="GA13" s="68">
        <f t="shared" si="30"/>
        <v>20862472109.169998</v>
      </c>
      <c r="GB13" s="48">
        <f t="shared" ref="GB13" si="102">+SUM(GB14:GB18)</f>
        <v>1710875396.5699999</v>
      </c>
      <c r="GC13" s="48">
        <f t="shared" ref="GC13" si="103">+SUM(GC14:GC18)</f>
        <v>1562414743.49</v>
      </c>
      <c r="GD13" s="48">
        <f t="shared" ref="GD13" si="104">+SUM(GD14:GD18)</f>
        <v>1990471639.98</v>
      </c>
      <c r="GE13" s="48">
        <f t="shared" ref="GE13" si="105">+SUM(GE14:GE18)</f>
        <v>1724544942.9199998</v>
      </c>
      <c r="GF13" s="48">
        <f t="shared" ref="GF13" si="106">+SUM(GF14:GF18)</f>
        <v>2090876694.22</v>
      </c>
      <c r="GG13" s="48">
        <f t="shared" ref="GG13" si="107">+SUM(GG14:GG18)</f>
        <v>1781367792.9200001</v>
      </c>
      <c r="GH13" s="48">
        <f t="shared" ref="GH13:GI13" si="108">+SUM(GH14:GH18)</f>
        <v>2063508661.3299999</v>
      </c>
      <c r="GI13" s="48">
        <f t="shared" si="108"/>
        <v>1933524740.2</v>
      </c>
      <c r="GJ13" s="48">
        <f t="shared" ref="GJ13:GK13" si="109">+SUM(GJ14:GJ18)</f>
        <v>2025160935.3200002</v>
      </c>
      <c r="GK13" s="48">
        <f t="shared" si="109"/>
        <v>2067644319.1899998</v>
      </c>
      <c r="GL13" s="48">
        <f>SUM(GL14:GL18)</f>
        <v>2189820228.9300003</v>
      </c>
      <c r="GM13" s="48">
        <f>SUM(GM14:GM18)</f>
        <v>1846698675.6900001</v>
      </c>
      <c r="GN13" s="68">
        <v>22986908770.759998</v>
      </c>
      <c r="GO13" s="48">
        <f>SUM(GO14:GO18)</f>
        <v>1572565590.5699999</v>
      </c>
      <c r="GP13" s="48">
        <f>SUM(GP14:GP18)</f>
        <v>1588909186.03</v>
      </c>
      <c r="GQ13" s="48">
        <f>+SUM(GQ14:GQ18)</f>
        <v>1998442681.0100002</v>
      </c>
      <c r="GR13" s="80">
        <v>1606017444.6200004</v>
      </c>
      <c r="GS13" s="48">
        <f t="shared" ref="GS13:GX13" si="110">+SUM(GS14:GS18)</f>
        <v>1897400290.9299998</v>
      </c>
      <c r="GT13" s="85">
        <f t="shared" si="110"/>
        <v>1662894470.51</v>
      </c>
      <c r="GU13" s="85">
        <f t="shared" si="110"/>
        <v>1771884672.8099999</v>
      </c>
      <c r="GV13" s="85">
        <f t="shared" si="110"/>
        <v>1828758304.27</v>
      </c>
      <c r="GW13" s="85">
        <f t="shared" si="110"/>
        <v>2110368610.77</v>
      </c>
      <c r="GX13" s="85">
        <f t="shared" si="110"/>
        <v>2208137614.46</v>
      </c>
      <c r="GY13" s="85">
        <f>+SUM(GY14:GY18)</f>
        <v>2529074458.0099998</v>
      </c>
      <c r="GZ13" s="85">
        <f>+SUM(GZ14:GZ18)</f>
        <v>1729527634.8500001</v>
      </c>
      <c r="HA13" s="68">
        <f>SUM(GO13:GZ13)</f>
        <v>22503980958.84</v>
      </c>
      <c r="HB13" s="85">
        <f t="shared" ref="HB13:HG13" si="111">+SUM(HB14:HB18)</f>
        <v>1497740356.8199999</v>
      </c>
      <c r="HC13" s="85">
        <f t="shared" si="111"/>
        <v>1702633031.5599999</v>
      </c>
      <c r="HD13" s="85">
        <f t="shared" si="111"/>
        <v>1744790264.3900001</v>
      </c>
      <c r="HE13" s="85">
        <f t="shared" si="111"/>
        <v>2064892729.7600002</v>
      </c>
      <c r="HF13" s="85">
        <f t="shared" si="111"/>
        <v>2182959035.4900002</v>
      </c>
      <c r="HG13" s="85">
        <f t="shared" si="111"/>
        <v>1783698072.6599998</v>
      </c>
      <c r="HH13" s="85">
        <f t="shared" ref="HH13:HM13" si="112">+SUM(HH14:HH18)</f>
        <v>2088462442.3100002</v>
      </c>
      <c r="HI13" s="85">
        <f t="shared" si="112"/>
        <v>2197496128.8299999</v>
      </c>
      <c r="HJ13" s="85">
        <f t="shared" si="112"/>
        <v>2252540978</v>
      </c>
      <c r="HK13" s="85">
        <f t="shared" si="112"/>
        <v>2449721887.5600004</v>
      </c>
      <c r="HL13" s="85">
        <f t="shared" si="112"/>
        <v>2366919357.5000005</v>
      </c>
      <c r="HM13" s="85">
        <f t="shared" si="112"/>
        <v>2008787806.7399998</v>
      </c>
      <c r="HN13" s="68">
        <f t="shared" si="12"/>
        <v>24340642091.620003</v>
      </c>
      <c r="HO13" s="85">
        <f>+SUM(HO14:HO18)</f>
        <v>1667201048.0464001</v>
      </c>
      <c r="HP13" s="85">
        <f>+SUM(HP14:HP18)</f>
        <v>1936865864.7</v>
      </c>
      <c r="HQ13" s="85">
        <f>+SUM(HQ14:HQ18)</f>
        <v>2033117998.4000001</v>
      </c>
      <c r="HR13" s="85">
        <f t="shared" ref="HR13:HU13" si="113">SUM(HR14:HR18)</f>
        <v>1942122443.2799997</v>
      </c>
      <c r="HS13" s="85">
        <f t="shared" si="113"/>
        <v>2012652340.04</v>
      </c>
      <c r="HT13" s="85">
        <f t="shared" si="113"/>
        <v>1885450922.45</v>
      </c>
      <c r="HU13" s="85">
        <f t="shared" si="113"/>
        <v>2128829889.04</v>
      </c>
      <c r="HV13" s="85">
        <f>SUM(HV14:HV18)</f>
        <v>1974637694.0699997</v>
      </c>
      <c r="HW13" s="85">
        <f>SUM(HW14:HW18)</f>
        <v>2311436665.9000001</v>
      </c>
      <c r="HX13" s="85">
        <f>SUM(HX14:HX18)</f>
        <v>2566192886.0100002</v>
      </c>
      <c r="HY13" s="85">
        <f>SUM(HY14:HY18)</f>
        <v>2189113924.1300001</v>
      </c>
      <c r="HZ13" s="85">
        <f>SUM(HZ14:HZ18)</f>
        <v>2297202686.1799998</v>
      </c>
      <c r="IA13" s="68">
        <f t="shared" si="36"/>
        <v>24944824362.246403</v>
      </c>
      <c r="IB13" s="85">
        <f>SUM(IB14:IB18)</f>
        <v>2003180624.1200001</v>
      </c>
      <c r="IC13" s="85">
        <f>SUM(IC14:IC18)</f>
        <v>1972218686.9199998</v>
      </c>
      <c r="ID13" s="85">
        <f t="shared" ref="ID13:IE13" si="114">SUM(ID14:ID18)</f>
        <v>2399977202.5700002</v>
      </c>
      <c r="IE13" s="85">
        <f t="shared" si="114"/>
        <v>1963063831.0999999</v>
      </c>
      <c r="IF13" s="85">
        <f t="shared" ref="IF13" si="115">SUM(IF14:IF18)</f>
        <v>2214761074.1700001</v>
      </c>
      <c r="IG13" s="85">
        <f>SUM(IG14:IG18)</f>
        <v>2121414804.1100004</v>
      </c>
      <c r="IH13" s="85">
        <f>SUM(IH14:IH18)</f>
        <v>2250229806.3499999</v>
      </c>
      <c r="II13" s="85">
        <f>SUM(II14:II18)</f>
        <v>2440890060.8399997</v>
      </c>
      <c r="IJ13" s="68">
        <f t="shared" si="38"/>
        <v>17365736090.18</v>
      </c>
    </row>
    <row r="14" spans="1:244" s="11" customFormat="1" ht="18.75" x14ac:dyDescent="0.3">
      <c r="A14" s="7" t="s">
        <v>24</v>
      </c>
      <c r="B14" s="18">
        <v>74439199.519999996</v>
      </c>
      <c r="C14" s="19">
        <v>53187400.230000004</v>
      </c>
      <c r="D14" s="19">
        <v>82994510.710000008</v>
      </c>
      <c r="E14" s="19">
        <v>120541131.3</v>
      </c>
      <c r="F14" s="19">
        <v>96952332.590000004</v>
      </c>
      <c r="G14" s="19">
        <v>111175014.46000001</v>
      </c>
      <c r="H14" s="19">
        <v>83149379.799999997</v>
      </c>
      <c r="I14" s="19">
        <v>81909545.849999994</v>
      </c>
      <c r="J14" s="19">
        <v>96911665.920000002</v>
      </c>
      <c r="K14" s="19">
        <v>99983429.359999999</v>
      </c>
      <c r="L14" s="19">
        <v>120523740.97999999</v>
      </c>
      <c r="M14" s="19">
        <v>207289612.31</v>
      </c>
      <c r="N14" s="26">
        <f>(SUM(B14:M14))</f>
        <v>1229056963.03</v>
      </c>
      <c r="O14" s="19">
        <v>57102975.890000001</v>
      </c>
      <c r="P14" s="19">
        <v>47357752.890000001</v>
      </c>
      <c r="Q14" s="19">
        <v>60368534.799999997</v>
      </c>
      <c r="R14" s="19">
        <v>62104722.889999993</v>
      </c>
      <c r="S14" s="19">
        <v>44371477.759999998</v>
      </c>
      <c r="T14" s="19">
        <v>94230824.379999995</v>
      </c>
      <c r="U14" s="19">
        <v>94195091.890000001</v>
      </c>
      <c r="V14" s="19">
        <v>72728615.900000006</v>
      </c>
      <c r="W14" s="19">
        <v>108354262.3</v>
      </c>
      <c r="X14" s="19">
        <v>199936114.56</v>
      </c>
      <c r="Y14" s="19">
        <v>164531149.26000002</v>
      </c>
      <c r="Z14" s="19">
        <v>240919096.32999998</v>
      </c>
      <c r="AA14" s="26">
        <f>(SUM(O14:Z14))</f>
        <v>1246200618.8499999</v>
      </c>
      <c r="AB14" s="19">
        <v>92194997.439999998</v>
      </c>
      <c r="AC14" s="19">
        <v>79533497.739999995</v>
      </c>
      <c r="AD14" s="19">
        <v>111870976.61999999</v>
      </c>
      <c r="AE14" s="19">
        <v>50749161.43</v>
      </c>
      <c r="AF14" s="19">
        <v>86271480.969999999</v>
      </c>
      <c r="AG14" s="19">
        <v>93064156.900000006</v>
      </c>
      <c r="AH14" s="19">
        <v>90959689.920000002</v>
      </c>
      <c r="AI14" s="19">
        <v>67812418.5</v>
      </c>
      <c r="AJ14" s="19">
        <v>120335165.52000001</v>
      </c>
      <c r="AK14" s="19">
        <v>209287111.55000001</v>
      </c>
      <c r="AL14" s="19">
        <v>226684882.29999998</v>
      </c>
      <c r="AM14" s="19">
        <v>221396316.98000002</v>
      </c>
      <c r="AN14" s="26">
        <f>+SUM(AB14:AM14)</f>
        <v>1450159855.8699999</v>
      </c>
      <c r="AO14" s="19">
        <v>102239538.95999999</v>
      </c>
      <c r="AP14" s="19">
        <v>93646988.100000009</v>
      </c>
      <c r="AQ14" s="19">
        <v>153144607.38</v>
      </c>
      <c r="AR14" s="19">
        <v>168402109.39000002</v>
      </c>
      <c r="AS14" s="19">
        <v>186779666.58000001</v>
      </c>
      <c r="AT14" s="19">
        <v>145125492.90000001</v>
      </c>
      <c r="AU14" s="19">
        <v>82140056.680000007</v>
      </c>
      <c r="AV14" s="19">
        <v>106089059.52</v>
      </c>
      <c r="AW14" s="19">
        <v>125005038.19</v>
      </c>
      <c r="AX14" s="19">
        <v>206713427.94999999</v>
      </c>
      <c r="AY14" s="19">
        <v>298775774.61000001</v>
      </c>
      <c r="AZ14" s="19">
        <v>291981816.16999996</v>
      </c>
      <c r="BA14" s="26">
        <f>(SUM(AO14:AZ14))</f>
        <v>1960043576.4300003</v>
      </c>
      <c r="BB14" s="19">
        <v>103174240.16</v>
      </c>
      <c r="BC14" s="19">
        <v>111797471.69000001</v>
      </c>
      <c r="BD14" s="19">
        <v>181442251.38999999</v>
      </c>
      <c r="BE14" s="19">
        <v>99892401.650000006</v>
      </c>
      <c r="BF14" s="19">
        <v>123816947.02</v>
      </c>
      <c r="BG14" s="19">
        <v>158233650.03</v>
      </c>
      <c r="BH14" s="19">
        <v>114188754.42</v>
      </c>
      <c r="BI14" s="19">
        <v>137246308.43000001</v>
      </c>
      <c r="BJ14" s="19">
        <v>156479726.43000001</v>
      </c>
      <c r="BK14" s="19">
        <v>233403567.77000001</v>
      </c>
      <c r="BL14" s="19">
        <v>365306623.85000002</v>
      </c>
      <c r="BM14" s="19">
        <v>371964550.42000002</v>
      </c>
      <c r="BN14" s="26">
        <f>(SUM(BB14:BM14))</f>
        <v>2156946493.2600002</v>
      </c>
      <c r="BO14" s="19">
        <v>127378244.31999999</v>
      </c>
      <c r="BP14" s="19">
        <v>122927488.51000001</v>
      </c>
      <c r="BQ14" s="19">
        <v>164672891.28</v>
      </c>
      <c r="BR14" s="19">
        <v>146873713.69</v>
      </c>
      <c r="BS14" s="19">
        <v>168943160.03</v>
      </c>
      <c r="BT14" s="19">
        <v>154771598.18000001</v>
      </c>
      <c r="BU14" s="19">
        <v>201990084.88999999</v>
      </c>
      <c r="BV14" s="19">
        <v>251402442.97999999</v>
      </c>
      <c r="BW14" s="19">
        <v>300614820.18000001</v>
      </c>
      <c r="BX14" s="19">
        <v>511812522.29999995</v>
      </c>
      <c r="BY14" s="19">
        <v>719732876.89999998</v>
      </c>
      <c r="BZ14" s="19">
        <v>597379687.71000004</v>
      </c>
      <c r="CA14" s="26">
        <f>(SUM(BO14:BZ14))</f>
        <v>3468499530.9700003</v>
      </c>
      <c r="CB14" s="19">
        <v>197095097.12</v>
      </c>
      <c r="CC14" s="19">
        <v>187385218.91</v>
      </c>
      <c r="CD14" s="19">
        <v>240223698.02000001</v>
      </c>
      <c r="CE14" s="19">
        <v>459251815.92000002</v>
      </c>
      <c r="CF14" s="19">
        <v>321329604.39999998</v>
      </c>
      <c r="CG14" s="19">
        <v>359271115.87</v>
      </c>
      <c r="CH14" s="19">
        <v>231489246.44999999</v>
      </c>
      <c r="CI14" s="19">
        <v>253660827.28999999</v>
      </c>
      <c r="CJ14" s="19">
        <v>428038436.32999998</v>
      </c>
      <c r="CK14" s="19">
        <v>615609161.32000005</v>
      </c>
      <c r="CL14" s="19">
        <v>604689733.73000002</v>
      </c>
      <c r="CM14" s="19">
        <v>449674662.13999999</v>
      </c>
      <c r="CN14" s="26">
        <f>(SUM(CB14:CM14))</f>
        <v>4347718617.5</v>
      </c>
      <c r="CO14" s="19">
        <v>324010922.5</v>
      </c>
      <c r="CP14" s="19">
        <v>327018348.06999999</v>
      </c>
      <c r="CQ14" s="19">
        <v>383844578.88</v>
      </c>
      <c r="CR14" s="19">
        <v>283160887.44999999</v>
      </c>
      <c r="CS14" s="19">
        <v>353613839.88999999</v>
      </c>
      <c r="CT14" s="19">
        <v>412862051.13999999</v>
      </c>
      <c r="CU14" s="19">
        <v>397971051.06</v>
      </c>
      <c r="CV14" s="19">
        <v>386941122.86000001</v>
      </c>
      <c r="CW14" s="19">
        <v>562963189.62</v>
      </c>
      <c r="CX14" s="19">
        <v>749933457.04999995</v>
      </c>
      <c r="CY14" s="19">
        <v>687939410.74000001</v>
      </c>
      <c r="CZ14" s="19">
        <v>706148072.16999996</v>
      </c>
      <c r="DA14" s="26">
        <f>(SUM(CO14:CZ14))+0</f>
        <v>5576406931.4299994</v>
      </c>
      <c r="DB14" s="19">
        <v>304332348.94999999</v>
      </c>
      <c r="DC14" s="19">
        <v>305810281.31</v>
      </c>
      <c r="DD14" s="19">
        <v>352883140.70999998</v>
      </c>
      <c r="DE14" s="19">
        <v>378584710.45999998</v>
      </c>
      <c r="DF14" s="19">
        <v>316595176.13999999</v>
      </c>
      <c r="DG14" s="19">
        <v>484599155.79000002</v>
      </c>
      <c r="DH14" s="19">
        <v>261441327.19</v>
      </c>
      <c r="DI14" s="19">
        <v>441088014.20999998</v>
      </c>
      <c r="DJ14" s="19">
        <v>430246784.24000001</v>
      </c>
      <c r="DK14" s="19">
        <v>864679075.84000003</v>
      </c>
      <c r="DL14" s="19">
        <v>913345785.47000003</v>
      </c>
      <c r="DM14" s="19">
        <v>623681599.92999995</v>
      </c>
      <c r="DN14" s="26">
        <f>(SUM(DB14:DM14))+0</f>
        <v>5677287400.2400007</v>
      </c>
      <c r="DO14" s="49">
        <v>630072808.46000004</v>
      </c>
      <c r="DP14" s="49">
        <v>373925795.81</v>
      </c>
      <c r="DQ14" s="49">
        <v>516180417.25</v>
      </c>
      <c r="DR14" s="49">
        <v>334166229.30000001</v>
      </c>
      <c r="DS14" s="49">
        <v>512708147.58999997</v>
      </c>
      <c r="DT14" s="49">
        <v>362867743</v>
      </c>
      <c r="DU14" s="49">
        <v>540788450</v>
      </c>
      <c r="DV14" s="49">
        <v>494648754.14999998</v>
      </c>
      <c r="DW14" s="49">
        <v>532082737.16000003</v>
      </c>
      <c r="DX14" s="49">
        <v>849574367.62</v>
      </c>
      <c r="DY14" s="49">
        <v>734450526.45000005</v>
      </c>
      <c r="DZ14" s="49">
        <v>676231164.16999996</v>
      </c>
      <c r="EA14" s="27">
        <f>(SUM(DO14:DZ14))+0</f>
        <v>6557697140.96</v>
      </c>
      <c r="EB14" s="49">
        <v>430567173.55000001</v>
      </c>
      <c r="EC14" s="49">
        <v>424510024.97000003</v>
      </c>
      <c r="ED14" s="49">
        <v>473959293.39999998</v>
      </c>
      <c r="EE14" s="49">
        <v>450555572.91000003</v>
      </c>
      <c r="EF14" s="49">
        <v>505336581.31999999</v>
      </c>
      <c r="EG14" s="49">
        <v>532832227.25</v>
      </c>
      <c r="EH14" s="49">
        <v>509578387.30000001</v>
      </c>
      <c r="EI14" s="49">
        <v>545243822.26999998</v>
      </c>
      <c r="EJ14" s="49">
        <v>615072274</v>
      </c>
      <c r="EK14" s="49">
        <v>950631632.17999995</v>
      </c>
      <c r="EL14" s="49">
        <v>971469178.29999995</v>
      </c>
      <c r="EM14" s="49">
        <v>830793648.38</v>
      </c>
      <c r="EN14" s="63">
        <f>(SUM(EB14:EM14))+0</f>
        <v>7240549815.8300009</v>
      </c>
      <c r="EO14" s="49">
        <v>514541421.92000002</v>
      </c>
      <c r="EP14" s="49">
        <v>572398610.72000003</v>
      </c>
      <c r="EQ14" s="49">
        <v>714264320.11000001</v>
      </c>
      <c r="ER14" s="49">
        <v>680073053.87</v>
      </c>
      <c r="ES14" s="49">
        <v>590809298.15999997</v>
      </c>
      <c r="ET14" s="49">
        <v>510061715.11000001</v>
      </c>
      <c r="EU14" s="49">
        <v>645630439.77999997</v>
      </c>
      <c r="EV14" s="49">
        <v>686899156.39999998</v>
      </c>
      <c r="EW14" s="49">
        <v>635977137.30999994</v>
      </c>
      <c r="EX14" s="49">
        <v>1059927565.5700001</v>
      </c>
      <c r="EY14" s="49">
        <v>867987258.11000001</v>
      </c>
      <c r="EZ14" s="49">
        <v>689155627.97000003</v>
      </c>
      <c r="FA14" s="63">
        <f>(+SUM(EO14:EZ14))+0</f>
        <v>8167725605.0299988</v>
      </c>
      <c r="FB14" s="49">
        <v>599584886.50999999</v>
      </c>
      <c r="FC14" s="49">
        <v>526694811.89999998</v>
      </c>
      <c r="FD14" s="49">
        <v>598655097.42999995</v>
      </c>
      <c r="FE14" s="49">
        <v>342924147.23000002</v>
      </c>
      <c r="FF14" s="49">
        <v>391052228.12</v>
      </c>
      <c r="FG14" s="49">
        <v>450951050.16000003</v>
      </c>
      <c r="FH14" s="49">
        <v>721639923.46000004</v>
      </c>
      <c r="FI14" s="49">
        <v>633242481.99000001</v>
      </c>
      <c r="FJ14" s="49">
        <v>653421495.70000005</v>
      </c>
      <c r="FK14" s="49">
        <v>912716328.96000004</v>
      </c>
      <c r="FL14" s="49">
        <v>975672558.14999998</v>
      </c>
      <c r="FM14" s="49">
        <v>810624705.32000005</v>
      </c>
      <c r="FN14" s="63">
        <f>(+SUM(FB14:FM14))+0</f>
        <v>7617179714.9299984</v>
      </c>
      <c r="FO14" s="49">
        <v>822042242.42999995</v>
      </c>
      <c r="FP14" s="49">
        <v>642216006.51999998</v>
      </c>
      <c r="FQ14" s="49">
        <v>788747198.12</v>
      </c>
      <c r="FR14" s="49">
        <v>871384309.07000005</v>
      </c>
      <c r="FS14" s="49">
        <v>878680458.28999996</v>
      </c>
      <c r="FT14" s="49">
        <v>984047893.41999996</v>
      </c>
      <c r="FU14" s="49">
        <v>1057163317.49</v>
      </c>
      <c r="FV14" s="49">
        <v>1163131899.5799999</v>
      </c>
      <c r="FW14" s="49">
        <v>1154635152.6099999</v>
      </c>
      <c r="FX14" s="49">
        <v>1535490309.51</v>
      </c>
      <c r="FY14" s="49">
        <v>1584006939.9100001</v>
      </c>
      <c r="FZ14" s="49">
        <v>1831142582.8699999</v>
      </c>
      <c r="GA14" s="68">
        <f>(+SUM(FO14:FZ14))+0</f>
        <v>13312688309.82</v>
      </c>
      <c r="GB14" s="49">
        <v>1350349232.77</v>
      </c>
      <c r="GC14" s="49">
        <v>1159180495.1099999</v>
      </c>
      <c r="GD14" s="49">
        <v>1385983374.21</v>
      </c>
      <c r="GE14" s="49">
        <v>1223376128.95</v>
      </c>
      <c r="GF14" s="49">
        <v>1375631634.1600001</v>
      </c>
      <c r="GG14" s="49">
        <v>995204743.88999999</v>
      </c>
      <c r="GH14" s="49">
        <v>1434147771.75</v>
      </c>
      <c r="GI14" s="49">
        <v>1330555072.1400001</v>
      </c>
      <c r="GJ14" s="49">
        <v>1250018294.4100001</v>
      </c>
      <c r="GK14" s="49">
        <v>1312993587.79</v>
      </c>
      <c r="GL14" s="49">
        <v>1435803264.8800001</v>
      </c>
      <c r="GM14" s="49">
        <v>1217408414.8599999</v>
      </c>
      <c r="GN14" s="68">
        <v>15470652014.920002</v>
      </c>
      <c r="GO14" s="49">
        <f>871485061.9+281786753.38</f>
        <v>1153271815.28</v>
      </c>
      <c r="GP14" s="49">
        <f>945695788.94+236921876.68</f>
        <v>1182617665.6200001</v>
      </c>
      <c r="GQ14" s="49">
        <v>1415965765.1600001</v>
      </c>
      <c r="GR14" s="81">
        <v>1154710660.5900002</v>
      </c>
      <c r="GS14" s="49">
        <f>947199165.09+242505181.74</f>
        <v>1189704346.8299999</v>
      </c>
      <c r="GT14" s="86">
        <v>1096801025.5</v>
      </c>
      <c r="GU14" s="86">
        <f>870407179.5+238692399.81</f>
        <v>1109099579.3099999</v>
      </c>
      <c r="GV14" s="86">
        <f>842434006.05+232764845.1</f>
        <v>1075198851.1499999</v>
      </c>
      <c r="GW14" s="86">
        <f>1030635452.68+327043144.39</f>
        <v>1357678597.0699999</v>
      </c>
      <c r="GX14" s="86">
        <f>1064049609.64+352628276.89</f>
        <v>1416677886.53</v>
      </c>
      <c r="GY14" s="86">
        <v>1578921166.6099999</v>
      </c>
      <c r="GZ14" s="86">
        <v>1327403471.96</v>
      </c>
      <c r="HA14" s="68">
        <f t="shared" si="40"/>
        <v>15058050831.610001</v>
      </c>
      <c r="HB14" s="86">
        <v>951944809.28999996</v>
      </c>
      <c r="HC14" s="86">
        <f>900348981.19+235609021.03</f>
        <v>1135958002.22</v>
      </c>
      <c r="HD14" s="86">
        <f>988436454.27+264033696.38</f>
        <v>1252470150.6500001</v>
      </c>
      <c r="HE14" s="86">
        <f>1132931247.91+330104367.21</f>
        <v>1463035615.1200001</v>
      </c>
      <c r="HF14" s="86">
        <f>1110501072.78+309866424.39</f>
        <v>1420367497.1700001</v>
      </c>
      <c r="HG14" s="86">
        <v>1113490494.3800001</v>
      </c>
      <c r="HH14" s="86">
        <f>1038533442.82+295244388.61</f>
        <v>1333777831.4300001</v>
      </c>
      <c r="HI14" s="86">
        <f>1062844257.33+318968972.46</f>
        <v>1381813229.79</v>
      </c>
      <c r="HJ14" s="86">
        <f>1045095109.76+320878877.27</f>
        <v>1365973987.03</v>
      </c>
      <c r="HK14" s="86">
        <f>1260891827.19+362116867.73</f>
        <v>1623008694.9200001</v>
      </c>
      <c r="HL14" s="86">
        <v>1594778703.8200002</v>
      </c>
      <c r="HM14" s="86">
        <f>1174750897.69+303558239.12</f>
        <v>1478309136.8099999</v>
      </c>
      <c r="HN14" s="68">
        <f t="shared" si="12"/>
        <v>16114928152.629999</v>
      </c>
      <c r="HO14" s="86">
        <f>859875719.6464+232970080.54</f>
        <v>1092845800.1863999</v>
      </c>
      <c r="HP14" s="86">
        <v>1335721909.3800001</v>
      </c>
      <c r="HQ14" s="86">
        <f>1143604217.4+287979787.97</f>
        <v>1431584005.3700001</v>
      </c>
      <c r="HR14" s="86">
        <v>1247726009.3199999</v>
      </c>
      <c r="HS14" s="86">
        <f>1016565815.4+274593063.83</f>
        <v>1291158879.23</v>
      </c>
      <c r="HT14" s="86">
        <v>1195227806.0599999</v>
      </c>
      <c r="HU14" s="86">
        <f>1091503697.66+293609630.46</f>
        <v>1385113328.1200001</v>
      </c>
      <c r="HV14" s="86">
        <f>286748244.31+987948753.54</f>
        <v>1274696997.8499999</v>
      </c>
      <c r="HW14" s="86">
        <v>1189371051.5</v>
      </c>
      <c r="HX14" s="86">
        <f>1425863027.63+474059114.32</f>
        <v>1899922141.95</v>
      </c>
      <c r="HY14" s="86">
        <v>1558887954.6300001</v>
      </c>
      <c r="HZ14" s="86">
        <v>1658515178.8600001</v>
      </c>
      <c r="IA14" s="68">
        <f ca="1">SUM(HO14:IB14)</f>
        <v>17769054154.886402</v>
      </c>
      <c r="IB14" s="86">
        <f>1208283092.43+298485459.39</f>
        <v>1506768551.8200002</v>
      </c>
      <c r="IC14" s="86">
        <v>1317273140.71</v>
      </c>
      <c r="ID14" s="86">
        <f>1468760854.98+358398873.99</f>
        <v>1827159728.97</v>
      </c>
      <c r="IE14" s="86">
        <f>1104193328.3+226905639.89</f>
        <v>1331098968.1900001</v>
      </c>
      <c r="IF14" s="86">
        <f>1229466175.78+276641833.8</f>
        <v>1506108009.5799999</v>
      </c>
      <c r="IG14" s="86">
        <f>1184906482.4+233051902.01</f>
        <v>1417958384.4100001</v>
      </c>
      <c r="IH14" s="86">
        <f>1241248667.69+321229269.62</f>
        <v>1562477937.3099999</v>
      </c>
      <c r="II14" s="86">
        <f>1350566438.73+346175201.08</f>
        <v>1696741639.8099999</v>
      </c>
      <c r="IJ14" s="68">
        <f t="shared" si="38"/>
        <v>12165586360.799999</v>
      </c>
    </row>
    <row r="15" spans="1:244" s="11" customFormat="1" ht="18.75" x14ac:dyDescent="0.3">
      <c r="A15" s="7" t="s">
        <v>25</v>
      </c>
      <c r="B15" s="18">
        <v>3854713</v>
      </c>
      <c r="C15" s="19">
        <v>31175196.75</v>
      </c>
      <c r="D15" s="19">
        <v>5435429.9199999999</v>
      </c>
      <c r="E15" s="19">
        <v>4324475.84</v>
      </c>
      <c r="F15" s="19">
        <v>7144183.4699999997</v>
      </c>
      <c r="G15" s="19">
        <v>4227741.4000000004</v>
      </c>
      <c r="H15" s="19">
        <v>10033791.710000001</v>
      </c>
      <c r="I15" s="19">
        <v>4569920.62</v>
      </c>
      <c r="J15" s="19">
        <v>8200892.9199999999</v>
      </c>
      <c r="K15" s="19">
        <v>10008159.92</v>
      </c>
      <c r="L15" s="19">
        <v>19278828.550000001</v>
      </c>
      <c r="M15" s="19">
        <v>22435880.600000001</v>
      </c>
      <c r="N15" s="26">
        <f t="shared" si="15"/>
        <v>130689214.70000002</v>
      </c>
      <c r="O15" s="19">
        <v>13017059.050000001</v>
      </c>
      <c r="P15" s="19">
        <v>5646833.54</v>
      </c>
      <c r="Q15" s="19">
        <v>19702685.370000001</v>
      </c>
      <c r="R15" s="19">
        <v>10749465.539999999</v>
      </c>
      <c r="S15" s="19">
        <v>25141432.870000001</v>
      </c>
      <c r="T15" s="19">
        <v>29521930.550000001</v>
      </c>
      <c r="U15" s="19">
        <v>22958670.82</v>
      </c>
      <c r="V15" s="19">
        <v>19839342.34</v>
      </c>
      <c r="W15" s="19">
        <v>30729891.34</v>
      </c>
      <c r="X15" s="19">
        <v>43217297.450000003</v>
      </c>
      <c r="Y15" s="19">
        <v>37159555.490000002</v>
      </c>
      <c r="Z15" s="19">
        <v>51231610.840000004</v>
      </c>
      <c r="AA15" s="26">
        <f t="shared" si="16"/>
        <v>308915775.20000005</v>
      </c>
      <c r="AB15" s="19">
        <v>60418018.789999999</v>
      </c>
      <c r="AC15" s="19">
        <v>22759803.620000001</v>
      </c>
      <c r="AD15" s="19">
        <v>50035488.700000003</v>
      </c>
      <c r="AE15" s="19">
        <v>26608518.34</v>
      </c>
      <c r="AF15" s="19">
        <v>28427898.199999999</v>
      </c>
      <c r="AG15" s="19">
        <v>44374508.490000002</v>
      </c>
      <c r="AH15" s="19">
        <v>16127514.67</v>
      </c>
      <c r="AI15" s="19">
        <v>19233205.77</v>
      </c>
      <c r="AJ15" s="19">
        <v>27068641.66</v>
      </c>
      <c r="AK15" s="19">
        <v>72213689.799999997</v>
      </c>
      <c r="AL15" s="19">
        <v>25024150.460000001</v>
      </c>
      <c r="AM15" s="19">
        <v>41915673.18</v>
      </c>
      <c r="AN15" s="26">
        <v>434207111.68000001</v>
      </c>
      <c r="AO15" s="19">
        <v>31240895.710000001</v>
      </c>
      <c r="AP15" s="19">
        <v>8910814.3200000003</v>
      </c>
      <c r="AQ15" s="19">
        <v>17158117.609999999</v>
      </c>
      <c r="AR15" s="19">
        <v>111763877.47</v>
      </c>
      <c r="AS15" s="19">
        <v>794448.68</v>
      </c>
      <c r="AT15" s="19">
        <v>14766742.35</v>
      </c>
      <c r="AU15" s="19">
        <v>11708029.68</v>
      </c>
      <c r="AV15" s="19">
        <v>8148113.3700000001</v>
      </c>
      <c r="AW15" s="19">
        <v>33158139.600000001</v>
      </c>
      <c r="AX15" s="19">
        <v>13782201.289999999</v>
      </c>
      <c r="AY15" s="19">
        <v>27401286</v>
      </c>
      <c r="AZ15" s="19">
        <v>14782521.060000001</v>
      </c>
      <c r="BA15" s="26">
        <f t="shared" si="17"/>
        <v>293615187.14000005</v>
      </c>
      <c r="BB15" s="19">
        <v>25392055.199999999</v>
      </c>
      <c r="BC15" s="19">
        <v>13312390.6</v>
      </c>
      <c r="BD15" s="19">
        <v>23113523.309999999</v>
      </c>
      <c r="BE15" s="19">
        <v>12105838</v>
      </c>
      <c r="BF15" s="19">
        <v>30614511.199999999</v>
      </c>
      <c r="BG15" s="19">
        <v>35161433.600000001</v>
      </c>
      <c r="BH15" s="19">
        <v>7676680.7699999996</v>
      </c>
      <c r="BI15" s="19">
        <v>29211210</v>
      </c>
      <c r="BJ15" s="19">
        <v>33809326</v>
      </c>
      <c r="BK15" s="19">
        <v>41820091.799999997</v>
      </c>
      <c r="BL15" s="19">
        <v>50168338.039999999</v>
      </c>
      <c r="BM15" s="19">
        <v>40760942</v>
      </c>
      <c r="BN15" s="26">
        <f t="shared" si="18"/>
        <v>343146340.52000004</v>
      </c>
      <c r="BO15" s="19">
        <v>11986554.5</v>
      </c>
      <c r="BP15" s="19">
        <v>48755312.460000001</v>
      </c>
      <c r="BQ15" s="19">
        <v>35361711.799999997</v>
      </c>
      <c r="BR15" s="19">
        <v>32880354</v>
      </c>
      <c r="BS15" s="19">
        <v>32554472</v>
      </c>
      <c r="BT15" s="19">
        <v>45507598</v>
      </c>
      <c r="BU15" s="19">
        <v>31312456</v>
      </c>
      <c r="BV15" s="19">
        <v>39704539.049999997</v>
      </c>
      <c r="BW15" s="19">
        <v>50664841.600000001</v>
      </c>
      <c r="BX15" s="19">
        <v>34311001.200000003</v>
      </c>
      <c r="BY15" s="19">
        <v>23473026.399999999</v>
      </c>
      <c r="BZ15" s="19">
        <v>49568924.200000003</v>
      </c>
      <c r="CA15" s="26">
        <f t="shared" si="19"/>
        <v>436080791.20999998</v>
      </c>
      <c r="CB15" s="19">
        <v>48953061.25</v>
      </c>
      <c r="CC15" s="19">
        <v>39902650.909999996</v>
      </c>
      <c r="CD15" s="19">
        <v>35682838.200000003</v>
      </c>
      <c r="CE15" s="19">
        <v>52225515.200000003</v>
      </c>
      <c r="CF15" s="19">
        <v>46905459.630000003</v>
      </c>
      <c r="CG15" s="19">
        <v>54452871</v>
      </c>
      <c r="CH15" s="19">
        <v>39180284</v>
      </c>
      <c r="CI15" s="19">
        <v>21937688</v>
      </c>
      <c r="CJ15" s="19">
        <v>32108994.68</v>
      </c>
      <c r="CK15" s="19">
        <v>25630402</v>
      </c>
      <c r="CL15" s="19">
        <v>31985892</v>
      </c>
      <c r="CM15" s="19">
        <v>34608686</v>
      </c>
      <c r="CN15" s="26">
        <f t="shared" si="20"/>
        <v>463574342.87</v>
      </c>
      <c r="CO15" s="19">
        <v>38515370.5</v>
      </c>
      <c r="CP15" s="19">
        <v>27692385</v>
      </c>
      <c r="CQ15" s="19">
        <v>22091873</v>
      </c>
      <c r="CR15" s="19">
        <v>29947487.02</v>
      </c>
      <c r="CS15" s="19">
        <v>20167490</v>
      </c>
      <c r="CT15" s="19">
        <v>28884979</v>
      </c>
      <c r="CU15" s="19">
        <v>22268646</v>
      </c>
      <c r="CV15" s="19">
        <v>52596165</v>
      </c>
      <c r="CW15" s="19">
        <v>18974895.140000001</v>
      </c>
      <c r="CX15" s="19">
        <v>17431544</v>
      </c>
      <c r="CY15" s="19">
        <v>30380086</v>
      </c>
      <c r="CZ15" s="19">
        <v>28956262.5</v>
      </c>
      <c r="DA15" s="26">
        <f t="shared" si="21"/>
        <v>337907183.15999997</v>
      </c>
      <c r="DB15" s="19">
        <v>35745987.5</v>
      </c>
      <c r="DC15" s="19">
        <v>28836478.600000001</v>
      </c>
      <c r="DD15" s="19">
        <v>26824898</v>
      </c>
      <c r="DE15" s="19">
        <v>16212090.77</v>
      </c>
      <c r="DF15" s="19">
        <v>14751147</v>
      </c>
      <c r="DG15" s="19">
        <v>19525221.129999999</v>
      </c>
      <c r="DH15" s="19">
        <v>21449395</v>
      </c>
      <c r="DI15" s="19">
        <v>23695750.760000002</v>
      </c>
      <c r="DJ15" s="19">
        <v>23230259.800000001</v>
      </c>
      <c r="DK15" s="19">
        <v>25983197.800000001</v>
      </c>
      <c r="DL15" s="19">
        <v>30165200</v>
      </c>
      <c r="DM15" s="19">
        <v>74848778.319999993</v>
      </c>
      <c r="DN15" s="26">
        <f t="shared" si="23"/>
        <v>341268404.68000001</v>
      </c>
      <c r="DO15" s="49">
        <v>32178682</v>
      </c>
      <c r="DP15" s="49">
        <v>39059267.899999999</v>
      </c>
      <c r="DQ15" s="49">
        <v>28575876.539999999</v>
      </c>
      <c r="DR15" s="49">
        <v>25118468.050000001</v>
      </c>
      <c r="DS15" s="49">
        <v>37173284.539999999</v>
      </c>
      <c r="DT15" s="49">
        <v>39777440.700000003</v>
      </c>
      <c r="DU15" s="49">
        <v>95171402.950000003</v>
      </c>
      <c r="DV15" s="49">
        <v>393534189.56999999</v>
      </c>
      <c r="DW15" s="49">
        <v>294598196.37</v>
      </c>
      <c r="DX15" s="49">
        <v>390979114.98000002</v>
      </c>
      <c r="DY15" s="49">
        <v>679915642.02999997</v>
      </c>
      <c r="DZ15" s="49">
        <v>208953629.97999999</v>
      </c>
      <c r="EA15" s="27">
        <f t="shared" ref="EA15:EA37" si="116">SUM(DO15:DZ15)</f>
        <v>2265035195.6099997</v>
      </c>
      <c r="EB15" s="49">
        <v>484595739.25999999</v>
      </c>
      <c r="EC15" s="49">
        <v>76811016.840000004</v>
      </c>
      <c r="ED15" s="49">
        <v>332695708.5</v>
      </c>
      <c r="EE15" s="49">
        <v>180564554.63999999</v>
      </c>
      <c r="EF15" s="49">
        <v>365903551.88999999</v>
      </c>
      <c r="EG15" s="49">
        <v>293634745.10000002</v>
      </c>
      <c r="EH15" s="49">
        <v>390716519.35000002</v>
      </c>
      <c r="EI15" s="49">
        <v>319465495.24000001</v>
      </c>
      <c r="EJ15" s="49">
        <v>266364898.58000001</v>
      </c>
      <c r="EK15" s="49">
        <v>349790378.64999998</v>
      </c>
      <c r="EL15" s="49">
        <v>411557428.69999999</v>
      </c>
      <c r="EM15" s="49">
        <v>438186287.54000002</v>
      </c>
      <c r="EN15" s="63">
        <f t="shared" si="39"/>
        <v>3910286324.2899995</v>
      </c>
      <c r="EO15" s="49">
        <v>321323535.13999999</v>
      </c>
      <c r="EP15" s="49">
        <v>239387932.19</v>
      </c>
      <c r="EQ15" s="49">
        <v>221288946.94</v>
      </c>
      <c r="ER15" s="49">
        <v>239686375.12</v>
      </c>
      <c r="ES15" s="49">
        <v>334668199.19999999</v>
      </c>
      <c r="ET15" s="49">
        <v>285316350.38</v>
      </c>
      <c r="EU15" s="49">
        <v>255498182.44999999</v>
      </c>
      <c r="EV15" s="49">
        <v>257584882.58000001</v>
      </c>
      <c r="EW15" s="49">
        <v>297807699.68000001</v>
      </c>
      <c r="EX15" s="49">
        <v>267115925.55000001</v>
      </c>
      <c r="EY15" s="49">
        <v>413856191.29000002</v>
      </c>
      <c r="EZ15" s="49">
        <v>438753778.76999998</v>
      </c>
      <c r="FA15" s="63">
        <f t="shared" si="27"/>
        <v>3572287999.29</v>
      </c>
      <c r="FB15" s="49">
        <v>251619737.34999999</v>
      </c>
      <c r="FC15" s="49">
        <v>275055699.52999997</v>
      </c>
      <c r="FD15" s="49">
        <v>326894752.56999999</v>
      </c>
      <c r="FE15" s="49">
        <v>123505506</v>
      </c>
      <c r="FF15" s="49">
        <v>108685348.59999999</v>
      </c>
      <c r="FG15" s="49">
        <v>191188119.66999999</v>
      </c>
      <c r="FH15" s="49">
        <v>218524051.33000001</v>
      </c>
      <c r="FI15" s="49">
        <v>262697223.34</v>
      </c>
      <c r="FJ15" s="49">
        <v>314814375.80000001</v>
      </c>
      <c r="FK15" s="49">
        <v>482717815.75999999</v>
      </c>
      <c r="FL15" s="49">
        <v>243000607.47999999</v>
      </c>
      <c r="FM15" s="49">
        <v>262449017.53999999</v>
      </c>
      <c r="FN15" s="63">
        <f t="shared" si="28"/>
        <v>3061152254.9699998</v>
      </c>
      <c r="FO15" s="49">
        <v>300948159.88999999</v>
      </c>
      <c r="FP15" s="49">
        <v>194126471.74000001</v>
      </c>
      <c r="FQ15" s="49">
        <v>218877444.75</v>
      </c>
      <c r="FR15" s="49">
        <v>237366390.44</v>
      </c>
      <c r="FS15" s="49">
        <v>227603668.27000001</v>
      </c>
      <c r="FT15" s="49">
        <v>116426467.95999999</v>
      </c>
      <c r="FU15" s="49">
        <v>263101265.59999999</v>
      </c>
      <c r="FV15" s="49">
        <v>194910666.22</v>
      </c>
      <c r="FW15" s="49">
        <v>298541971.05000001</v>
      </c>
      <c r="FX15" s="49">
        <v>477034060.31</v>
      </c>
      <c r="FY15" s="49">
        <v>339001891.63</v>
      </c>
      <c r="FZ15" s="49">
        <v>364661573.41000003</v>
      </c>
      <c r="GA15" s="68">
        <f t="shared" si="30"/>
        <v>3232600031.27</v>
      </c>
      <c r="GB15" s="49">
        <v>83390245.349999994</v>
      </c>
      <c r="GC15" s="49">
        <v>86222103.140000001</v>
      </c>
      <c r="GD15" s="49">
        <v>200987423.19</v>
      </c>
      <c r="GE15" s="49">
        <v>162859313.33000001</v>
      </c>
      <c r="GF15" s="49">
        <v>323862364.75</v>
      </c>
      <c r="GG15" s="49">
        <v>298206214.72000003</v>
      </c>
      <c r="GH15" s="49">
        <v>237002738</v>
      </c>
      <c r="GI15" s="49">
        <v>159283802.41</v>
      </c>
      <c r="GJ15" s="49">
        <v>323822617.94999999</v>
      </c>
      <c r="GK15" s="49">
        <v>359628120.05000001</v>
      </c>
      <c r="GL15" s="49">
        <v>281232141.44999999</v>
      </c>
      <c r="GM15" s="49">
        <v>264092046.15000001</v>
      </c>
      <c r="GN15" s="68">
        <v>2780589130.4900002</v>
      </c>
      <c r="GO15" s="49">
        <f>89731670+36717537</f>
        <v>126449207</v>
      </c>
      <c r="GP15" s="49">
        <f>95697885+40192786</f>
        <v>135890671</v>
      </c>
      <c r="GQ15" s="49">
        <v>177602421</v>
      </c>
      <c r="GR15" s="81">
        <v>168931383</v>
      </c>
      <c r="GS15" s="49">
        <f>208679235.78+81648978.5</f>
        <v>290328214.27999997</v>
      </c>
      <c r="GT15" s="86">
        <v>200269369</v>
      </c>
      <c r="GU15" s="86">
        <f>49909407.2+136829020</f>
        <v>186738427.19999999</v>
      </c>
      <c r="GV15" s="86">
        <f>191038080+74285744.2</f>
        <v>265323824.19999999</v>
      </c>
      <c r="GW15" s="86">
        <f>79635709.4+205629286.4</f>
        <v>285264995.80000001</v>
      </c>
      <c r="GX15" s="86">
        <f>193068040+73353400.6</f>
        <v>266421440.59999999</v>
      </c>
      <c r="GY15" s="86">
        <v>432773109</v>
      </c>
      <c r="GZ15" s="86">
        <v>58802320</v>
      </c>
      <c r="HA15" s="68">
        <f t="shared" si="40"/>
        <v>2594795382.0799999</v>
      </c>
      <c r="HB15" s="86">
        <v>106642288.64</v>
      </c>
      <c r="HC15" s="86">
        <f>54864407+130576320</f>
        <v>185440727</v>
      </c>
      <c r="HD15" s="86">
        <f>122742960+46361576</f>
        <v>169104536</v>
      </c>
      <c r="HE15" s="86">
        <f>54991070.39+133931450</f>
        <v>188922520.38999999</v>
      </c>
      <c r="HF15" s="86">
        <f>177282275+71146985.24</f>
        <v>248429260.24000001</v>
      </c>
      <c r="HG15" s="86">
        <v>187812841.12</v>
      </c>
      <c r="HH15" s="86">
        <f>161956805+57667709.7</f>
        <v>219624514.69999999</v>
      </c>
      <c r="HI15" s="86">
        <f>201121623+77472861.89</f>
        <v>278594484.88999999</v>
      </c>
      <c r="HJ15" s="86">
        <f>210297038+86162560.96</f>
        <v>296459598.95999998</v>
      </c>
      <c r="HK15" s="86">
        <f>178085116+73822995.32</f>
        <v>251908111.31999999</v>
      </c>
      <c r="HL15" s="86">
        <v>196581005.28</v>
      </c>
      <c r="HM15" s="86">
        <f>57486114+20299766.56</f>
        <v>77785880.560000002</v>
      </c>
      <c r="HN15" s="68">
        <f t="shared" si="12"/>
        <v>2407305769.0999999</v>
      </c>
      <c r="HO15" s="86">
        <f>88288435+35055567.4</f>
        <v>123344002.40000001</v>
      </c>
      <c r="HP15" s="86">
        <v>224030994.12</v>
      </c>
      <c r="HQ15" s="86">
        <f>116143055.4+47057633.2</f>
        <v>163200688.60000002</v>
      </c>
      <c r="HR15" s="86">
        <v>200768808.28</v>
      </c>
      <c r="HS15" s="86">
        <f>145928512+61479682.84</f>
        <v>207408194.84</v>
      </c>
      <c r="HT15" s="86">
        <v>218087011.84</v>
      </c>
      <c r="HU15" s="86">
        <f>146401896+58681317.52</f>
        <v>205083213.52000001</v>
      </c>
      <c r="HV15" s="86">
        <f>151969164+58398162.32</f>
        <v>210367326.31999999</v>
      </c>
      <c r="HW15" s="86">
        <v>581214755.27999997</v>
      </c>
      <c r="HX15" s="86">
        <f>59128093.88+143559210</f>
        <v>202687303.88</v>
      </c>
      <c r="HY15" s="86">
        <v>227001262.40000001</v>
      </c>
      <c r="HZ15" s="86">
        <v>179180972.80000001</v>
      </c>
      <c r="IA15" s="68">
        <f t="shared" si="36"/>
        <v>2742374534.2800002</v>
      </c>
      <c r="IB15" s="86">
        <f>90822913+41380719.8</f>
        <v>132203632.8</v>
      </c>
      <c r="IC15" s="86">
        <v>296962340.60000002</v>
      </c>
      <c r="ID15" s="86">
        <f>34760283.92+86823364</f>
        <v>121583647.92</v>
      </c>
      <c r="IE15" s="86">
        <f>70300742.64+161536176</f>
        <v>231836918.63999999</v>
      </c>
      <c r="IF15" s="86">
        <f>181144188+77695434.92</f>
        <v>258839622.92000002</v>
      </c>
      <c r="IG15" s="86">
        <f>88404162+34285393.12</f>
        <v>122689555.12</v>
      </c>
      <c r="IH15" s="86">
        <f>67068947.12+152682555</f>
        <v>219751502.12</v>
      </c>
      <c r="II15" s="86">
        <f>63444999.92+143075435</f>
        <v>206520434.92000002</v>
      </c>
      <c r="IJ15" s="68">
        <f t="shared" si="38"/>
        <v>1590387655.04</v>
      </c>
    </row>
    <row r="16" spans="1:244" s="11" customFormat="1" ht="18.75" x14ac:dyDescent="0.3">
      <c r="A16" s="7" t="s">
        <v>26</v>
      </c>
      <c r="B16" s="18">
        <v>55565951.920000002</v>
      </c>
      <c r="C16" s="19">
        <v>57747276.359999999</v>
      </c>
      <c r="D16" s="19">
        <v>63953455.039999999</v>
      </c>
      <c r="E16" s="19">
        <v>60573725.409999996</v>
      </c>
      <c r="F16" s="19">
        <v>67773961.400000006</v>
      </c>
      <c r="G16" s="19">
        <v>64435251.460000001</v>
      </c>
      <c r="H16" s="19">
        <v>67714055.329999998</v>
      </c>
      <c r="I16" s="19">
        <v>83793453.989999995</v>
      </c>
      <c r="J16" s="19">
        <v>66058581.170000002</v>
      </c>
      <c r="K16" s="19">
        <v>81740014.480000004</v>
      </c>
      <c r="L16" s="19">
        <v>74406184.760000005</v>
      </c>
      <c r="M16" s="19">
        <v>86913876.810000002</v>
      </c>
      <c r="N16" s="26">
        <f t="shared" si="15"/>
        <v>830675788.12999988</v>
      </c>
      <c r="O16" s="19">
        <v>52789946.359999999</v>
      </c>
      <c r="P16" s="19">
        <v>50409546.170000002</v>
      </c>
      <c r="Q16" s="19">
        <v>59158672.960000001</v>
      </c>
      <c r="R16" s="19">
        <v>60178645.329999998</v>
      </c>
      <c r="S16" s="19">
        <v>67484768.159999996</v>
      </c>
      <c r="T16" s="19">
        <v>71794108.280000001</v>
      </c>
      <c r="U16" s="19">
        <v>80182213.709999993</v>
      </c>
      <c r="V16" s="19">
        <v>76233188.730000004</v>
      </c>
      <c r="W16" s="19">
        <v>67900489.340000004</v>
      </c>
      <c r="X16" s="19">
        <v>66707407.090000004</v>
      </c>
      <c r="Y16" s="19">
        <v>85113392.079999998</v>
      </c>
      <c r="Z16" s="19">
        <v>94760135.209999993</v>
      </c>
      <c r="AA16" s="26">
        <f t="shared" si="16"/>
        <v>832712513.42000008</v>
      </c>
      <c r="AB16" s="19">
        <v>46633642.340000004</v>
      </c>
      <c r="AC16" s="19">
        <v>53417286.920000002</v>
      </c>
      <c r="AD16" s="19">
        <v>66114796.399999999</v>
      </c>
      <c r="AE16" s="19">
        <v>69724785.780000001</v>
      </c>
      <c r="AF16" s="19">
        <v>84947379.299999997</v>
      </c>
      <c r="AG16" s="19">
        <v>82859669.549999997</v>
      </c>
      <c r="AH16" s="19">
        <v>102240069.98</v>
      </c>
      <c r="AI16" s="19">
        <v>116409797.65000001</v>
      </c>
      <c r="AJ16" s="19">
        <v>127546597.86</v>
      </c>
      <c r="AK16" s="19">
        <v>98239459.569999993</v>
      </c>
      <c r="AL16" s="19">
        <v>96568930.269999996</v>
      </c>
      <c r="AM16" s="19">
        <v>72817536.269999996</v>
      </c>
      <c r="AN16" s="26">
        <v>1017519951.8900001</v>
      </c>
      <c r="AO16" s="19">
        <v>55516170.439999998</v>
      </c>
      <c r="AP16" s="19">
        <v>65609689.68</v>
      </c>
      <c r="AQ16" s="19">
        <v>80352539.819999993</v>
      </c>
      <c r="AR16" s="19"/>
      <c r="AS16" s="19">
        <v>133942999.15000001</v>
      </c>
      <c r="AT16" s="19">
        <v>127126349.56</v>
      </c>
      <c r="AU16" s="19">
        <v>132365752.77</v>
      </c>
      <c r="AV16" s="19">
        <v>133444355.76000001</v>
      </c>
      <c r="AW16" s="19">
        <v>125749087.06999999</v>
      </c>
      <c r="AX16" s="19">
        <v>136516984.81999999</v>
      </c>
      <c r="AY16" s="19">
        <v>155626079.25</v>
      </c>
      <c r="AZ16" s="19">
        <v>134951267.77000001</v>
      </c>
      <c r="BA16" s="26">
        <f t="shared" si="17"/>
        <v>1281201276.0899999</v>
      </c>
      <c r="BB16" s="19">
        <v>92326664.390000001</v>
      </c>
      <c r="BC16" s="19">
        <v>85791364.530000001</v>
      </c>
      <c r="BD16" s="19">
        <v>101006514.23</v>
      </c>
      <c r="BE16" s="19">
        <v>118909941.56</v>
      </c>
      <c r="BF16" s="19">
        <v>117158498.79000001</v>
      </c>
      <c r="BG16" s="19">
        <v>124150470.66</v>
      </c>
      <c r="BH16" s="19">
        <v>150413539.08000001</v>
      </c>
      <c r="BI16" s="19">
        <v>134948892.66999999</v>
      </c>
      <c r="BJ16" s="19">
        <v>136290965.53999999</v>
      </c>
      <c r="BK16" s="19">
        <v>152917164.66</v>
      </c>
      <c r="BL16" s="19">
        <v>208362054.31999999</v>
      </c>
      <c r="BM16" s="19">
        <v>185252716.27000001</v>
      </c>
      <c r="BN16" s="26">
        <f t="shared" si="18"/>
        <v>1607528786.7</v>
      </c>
      <c r="BO16" s="19">
        <v>73671680.170000002</v>
      </c>
      <c r="BP16" s="19">
        <v>79317630.180000007</v>
      </c>
      <c r="BQ16" s="19">
        <v>113586222.11</v>
      </c>
      <c r="BR16" s="19">
        <v>111190075.03</v>
      </c>
      <c r="BS16" s="19">
        <v>117716840.17</v>
      </c>
      <c r="BT16" s="19">
        <v>134003911.28</v>
      </c>
      <c r="BU16" s="19">
        <v>103779508.23999999</v>
      </c>
      <c r="BV16" s="19">
        <v>107484251.5</v>
      </c>
      <c r="BW16" s="19">
        <v>79809556.450000003</v>
      </c>
      <c r="BX16" s="19">
        <v>88466949.109999999</v>
      </c>
      <c r="BY16" s="19">
        <v>96892688.709999993</v>
      </c>
      <c r="BZ16" s="19">
        <v>117052430.45999999</v>
      </c>
      <c r="CA16" s="26">
        <f t="shared" si="19"/>
        <v>1222971743.4100001</v>
      </c>
      <c r="CB16" s="19">
        <v>68293006.989999995</v>
      </c>
      <c r="CC16" s="19">
        <v>53455576.329999998</v>
      </c>
      <c r="CD16" s="19">
        <v>78419381.629999995</v>
      </c>
      <c r="CE16" s="19">
        <v>107476294.58</v>
      </c>
      <c r="CF16" s="19">
        <v>119913611.36</v>
      </c>
      <c r="CG16" s="19">
        <v>81058712.390000001</v>
      </c>
      <c r="CH16" s="19">
        <v>137609345.13</v>
      </c>
      <c r="CI16" s="19">
        <v>117526448.06999999</v>
      </c>
      <c r="CJ16" s="19">
        <v>97392656.049999997</v>
      </c>
      <c r="CK16" s="19">
        <v>120849481.43000001</v>
      </c>
      <c r="CL16" s="19">
        <v>121291205.40000001</v>
      </c>
      <c r="CM16" s="19">
        <v>107179380.65000001</v>
      </c>
      <c r="CN16" s="26">
        <f t="shared" si="20"/>
        <v>1210465100.0100002</v>
      </c>
      <c r="CO16" s="19">
        <v>65243163.07</v>
      </c>
      <c r="CP16" s="19">
        <v>82208229.439999998</v>
      </c>
      <c r="CQ16" s="19">
        <v>111345569.26000001</v>
      </c>
      <c r="CR16" s="19">
        <v>105836022.18000001</v>
      </c>
      <c r="CS16" s="19">
        <v>137753265.38999999</v>
      </c>
      <c r="CT16" s="19">
        <v>112380475.63</v>
      </c>
      <c r="CU16" s="19">
        <v>135138430.97999999</v>
      </c>
      <c r="CV16" s="19">
        <v>118715782.33</v>
      </c>
      <c r="CW16" s="19">
        <v>124539135.3</v>
      </c>
      <c r="CX16" s="19">
        <v>163567691.63</v>
      </c>
      <c r="CY16" s="19">
        <v>125220553.59999999</v>
      </c>
      <c r="CZ16" s="19">
        <v>106867306.28</v>
      </c>
      <c r="DA16" s="26">
        <f t="shared" si="21"/>
        <v>1388815625.0899999</v>
      </c>
      <c r="DB16" s="19">
        <v>74972767.920000002</v>
      </c>
      <c r="DC16" s="19">
        <v>97251137.159999996</v>
      </c>
      <c r="DD16" s="19">
        <v>122669034.45</v>
      </c>
      <c r="DE16" s="19">
        <v>115723900.13</v>
      </c>
      <c r="DF16" s="19">
        <v>115374402.19</v>
      </c>
      <c r="DG16" s="19">
        <v>122887669.51000001</v>
      </c>
      <c r="DH16" s="19">
        <v>135989023.61000001</v>
      </c>
      <c r="DI16" s="19">
        <v>160557602.40000001</v>
      </c>
      <c r="DJ16" s="19">
        <v>147156640.09999999</v>
      </c>
      <c r="DK16" s="19">
        <v>184085213.40000001</v>
      </c>
      <c r="DL16" s="19">
        <v>168128694.97999999</v>
      </c>
      <c r="DM16" s="19">
        <v>127658604.28</v>
      </c>
      <c r="DN16" s="26">
        <f t="shared" si="23"/>
        <v>1572454690.1300001</v>
      </c>
      <c r="DO16" s="49">
        <v>97634096.930000007</v>
      </c>
      <c r="DP16" s="49">
        <v>110659141.81999999</v>
      </c>
      <c r="DQ16" s="49">
        <v>110375131.05</v>
      </c>
      <c r="DR16" s="49">
        <v>110896305.53</v>
      </c>
      <c r="DS16" s="49">
        <v>144603035.71000001</v>
      </c>
      <c r="DT16" s="49">
        <v>129566973.51000001</v>
      </c>
      <c r="DU16" s="49">
        <v>142649547.66</v>
      </c>
      <c r="DV16" s="49">
        <v>148695856.63999999</v>
      </c>
      <c r="DW16" s="49">
        <v>130494188.81999999</v>
      </c>
      <c r="DX16" s="49">
        <v>167102206.58000001</v>
      </c>
      <c r="DY16" s="49">
        <v>193566040.06999999</v>
      </c>
      <c r="DZ16" s="49">
        <v>155023264.13</v>
      </c>
      <c r="EA16" s="27">
        <f t="shared" si="116"/>
        <v>1641265788.4499998</v>
      </c>
      <c r="EB16" s="49">
        <v>119939357.51000001</v>
      </c>
      <c r="EC16" s="49">
        <v>119630306.45</v>
      </c>
      <c r="ED16" s="49">
        <v>147372812.25</v>
      </c>
      <c r="EE16" s="49">
        <v>133276860.20999999</v>
      </c>
      <c r="EF16" s="49">
        <v>173814300.94999999</v>
      </c>
      <c r="EG16" s="49">
        <v>159885461.81</v>
      </c>
      <c r="EH16" s="49">
        <v>174953461.36000001</v>
      </c>
      <c r="EI16" s="49">
        <v>184004499.33000001</v>
      </c>
      <c r="EJ16" s="49">
        <v>162718748.94</v>
      </c>
      <c r="EK16" s="49">
        <v>194229230.41999999</v>
      </c>
      <c r="EL16" s="49">
        <v>182138703.63</v>
      </c>
      <c r="EM16" s="49">
        <v>114220993.23999999</v>
      </c>
      <c r="EN16" s="63">
        <f t="shared" si="39"/>
        <v>1866184736.1000001</v>
      </c>
      <c r="EO16" s="49">
        <v>103206028.16</v>
      </c>
      <c r="EP16" s="49">
        <v>132526846.73</v>
      </c>
      <c r="EQ16" s="49">
        <v>114230385.61</v>
      </c>
      <c r="ER16" s="49">
        <v>142041394.15000001</v>
      </c>
      <c r="ES16" s="49">
        <v>207319599.22</v>
      </c>
      <c r="ET16" s="49">
        <v>133875758.73</v>
      </c>
      <c r="EU16" s="49">
        <v>197998149.27000001</v>
      </c>
      <c r="EV16" s="49">
        <v>165352581.56999999</v>
      </c>
      <c r="EW16" s="49">
        <v>174658659.41</v>
      </c>
      <c r="EX16" s="49">
        <v>207947534.68000001</v>
      </c>
      <c r="EY16" s="49">
        <v>212302479.31999999</v>
      </c>
      <c r="EZ16" s="49">
        <v>145381220.75999999</v>
      </c>
      <c r="FA16" s="63">
        <f t="shared" si="27"/>
        <v>1936840637.6100001</v>
      </c>
      <c r="FB16" s="49">
        <v>172697328.41</v>
      </c>
      <c r="FC16" s="49">
        <v>136323081.55000001</v>
      </c>
      <c r="FD16" s="49">
        <v>115082514.87</v>
      </c>
      <c r="FE16" s="49">
        <v>69827550.900000006</v>
      </c>
      <c r="FF16" s="49">
        <v>79812461.930000007</v>
      </c>
      <c r="FG16" s="49">
        <v>137386738.88</v>
      </c>
      <c r="FH16" s="49">
        <v>182455648.91</v>
      </c>
      <c r="FI16" s="49">
        <v>190529930.88999999</v>
      </c>
      <c r="FJ16" s="49">
        <v>215309763</v>
      </c>
      <c r="FK16" s="49">
        <v>255942045.47</v>
      </c>
      <c r="FL16" s="49">
        <v>273722116.55000001</v>
      </c>
      <c r="FM16" s="49">
        <v>241267442.16</v>
      </c>
      <c r="FN16" s="63">
        <f t="shared" si="28"/>
        <v>2070356623.5200002</v>
      </c>
      <c r="FO16" s="49">
        <v>169493616.36000001</v>
      </c>
      <c r="FP16" s="49">
        <v>197843009.56</v>
      </c>
      <c r="FQ16" s="49">
        <v>192834501.30000001</v>
      </c>
      <c r="FR16" s="49">
        <v>157071321.47</v>
      </c>
      <c r="FS16" s="49">
        <v>202841719.27000001</v>
      </c>
      <c r="FT16" s="49">
        <v>190176665.69</v>
      </c>
      <c r="FU16" s="49">
        <v>207887826.16</v>
      </c>
      <c r="FV16" s="49">
        <v>205073059.30000001</v>
      </c>
      <c r="FW16" s="49">
        <v>205363667.06999999</v>
      </c>
      <c r="FX16" s="49">
        <v>297974664.94</v>
      </c>
      <c r="FY16" s="49">
        <v>345123252.63999999</v>
      </c>
      <c r="FZ16" s="49">
        <v>193372604.58000001</v>
      </c>
      <c r="GA16" s="68">
        <f t="shared" si="30"/>
        <v>2565055908.3400002</v>
      </c>
      <c r="GB16" s="49">
        <v>170014851.44999999</v>
      </c>
      <c r="GC16" s="49">
        <v>181711430.25</v>
      </c>
      <c r="GD16" s="49">
        <v>208273697.96000001</v>
      </c>
      <c r="GE16" s="49">
        <v>205656836.63</v>
      </c>
      <c r="GF16" s="49">
        <v>253343548.03</v>
      </c>
      <c r="GG16" s="49">
        <v>313442064.68000001</v>
      </c>
      <c r="GH16" s="49">
        <v>231902556.44999999</v>
      </c>
      <c r="GI16" s="49">
        <v>296685409.5</v>
      </c>
      <c r="GJ16" s="49">
        <v>267881076.19999999</v>
      </c>
      <c r="GK16" s="49">
        <v>237158508.84999999</v>
      </c>
      <c r="GL16" s="49">
        <v>291316929.48000002</v>
      </c>
      <c r="GM16" s="49">
        <v>194439092.31999999</v>
      </c>
      <c r="GN16" s="68">
        <v>2851826001.8000002</v>
      </c>
      <c r="GO16" s="49">
        <v>167789032.84999999</v>
      </c>
      <c r="GP16" s="49">
        <v>155118959.83000001</v>
      </c>
      <c r="GQ16" s="49">
        <v>203615225.46000001</v>
      </c>
      <c r="GR16" s="81">
        <v>173806164.15000001</v>
      </c>
      <c r="GS16" s="49">
        <v>238298186.09999999</v>
      </c>
      <c r="GT16" s="86">
        <v>199209016.56999999</v>
      </c>
      <c r="GU16" s="86">
        <v>260385963.22</v>
      </c>
      <c r="GV16" s="86">
        <v>356016328.25999999</v>
      </c>
      <c r="GW16" s="86">
        <v>299062348.38</v>
      </c>
      <c r="GX16" s="86">
        <v>362747980.05000001</v>
      </c>
      <c r="GY16" s="86">
        <v>344874615.44</v>
      </c>
      <c r="GZ16" s="86">
        <v>191421604.49000001</v>
      </c>
      <c r="HA16" s="68">
        <f t="shared" si="40"/>
        <v>2952345424.8000002</v>
      </c>
      <c r="HB16" s="86">
        <v>241416078.97</v>
      </c>
      <c r="HC16" s="86">
        <v>211933459.81999999</v>
      </c>
      <c r="HD16" s="86">
        <v>193060701.18000001</v>
      </c>
      <c r="HE16" s="86">
        <v>258217134.27000001</v>
      </c>
      <c r="HF16" s="86">
        <v>334730133.74000001</v>
      </c>
      <c r="HG16" s="86">
        <v>291202253.60000002</v>
      </c>
      <c r="HH16" s="86">
        <v>361625897.69999999</v>
      </c>
      <c r="HI16" s="86">
        <v>344206705.43000001</v>
      </c>
      <c r="HJ16" s="86">
        <v>447840971.61000001</v>
      </c>
      <c r="HK16" s="86">
        <v>388129415.07999998</v>
      </c>
      <c r="HL16" s="86">
        <v>394555961.56</v>
      </c>
      <c r="HM16" s="86">
        <v>293628205.81</v>
      </c>
      <c r="HN16" s="68">
        <f t="shared" si="12"/>
        <v>3760546918.77</v>
      </c>
      <c r="HO16" s="86">
        <v>279012494.57999998</v>
      </c>
      <c r="HP16" s="86">
        <v>237205729.72</v>
      </c>
      <c r="HQ16" s="86">
        <v>259382688.31</v>
      </c>
      <c r="HR16" s="86">
        <v>340992084.60000002</v>
      </c>
      <c r="HS16" s="86">
        <v>323316188.93000001</v>
      </c>
      <c r="HT16" s="86">
        <v>336991727.85000002</v>
      </c>
      <c r="HU16" s="86">
        <v>356620854.07999998</v>
      </c>
      <c r="HV16" s="86">
        <v>327310555.25999999</v>
      </c>
      <c r="HW16" s="86">
        <v>322314141.83999997</v>
      </c>
      <c r="HX16" s="86">
        <v>264909772.86000001</v>
      </c>
      <c r="HY16" s="86">
        <v>247934843.78</v>
      </c>
      <c r="HZ16" s="86">
        <v>281257127.07999998</v>
      </c>
      <c r="IA16" s="68">
        <f t="shared" si="36"/>
        <v>3577248208.8900003</v>
      </c>
      <c r="IB16" s="86">
        <v>181015237.02000001</v>
      </c>
      <c r="IC16" s="86">
        <v>197273332.09</v>
      </c>
      <c r="ID16" s="86">
        <v>238662528.75999999</v>
      </c>
      <c r="IE16" s="86">
        <v>217006059.19</v>
      </c>
      <c r="IF16" s="86">
        <v>290073127.50999999</v>
      </c>
      <c r="IG16" s="86">
        <v>367327479.18000001</v>
      </c>
      <c r="IH16" s="86">
        <v>265979689.31999999</v>
      </c>
      <c r="II16" s="86">
        <v>334224649.43000001</v>
      </c>
      <c r="IJ16" s="68">
        <f t="shared" si="38"/>
        <v>2091562102.5</v>
      </c>
    </row>
    <row r="17" spans="1:244" s="11" customFormat="1" ht="18.75" x14ac:dyDescent="0.3">
      <c r="A17" s="7" t="s">
        <v>27</v>
      </c>
      <c r="B17" s="18">
        <v>593807.18999999994</v>
      </c>
      <c r="C17" s="19">
        <v>0</v>
      </c>
      <c r="D17" s="19">
        <v>2626.91</v>
      </c>
      <c r="E17" s="19">
        <v>1230489.51</v>
      </c>
      <c r="F17" s="19"/>
      <c r="G17" s="19">
        <v>268498.11</v>
      </c>
      <c r="H17" s="19"/>
      <c r="I17" s="19">
        <v>10556.24</v>
      </c>
      <c r="J17" s="19">
        <v>113643.01</v>
      </c>
      <c r="K17" s="19">
        <v>19587879.149999999</v>
      </c>
      <c r="L17" s="19"/>
      <c r="M17" s="19">
        <v>7443.32</v>
      </c>
      <c r="N17" s="26">
        <f t="shared" si="15"/>
        <v>21814943.439999998</v>
      </c>
      <c r="O17" s="19"/>
      <c r="P17" s="19"/>
      <c r="Q17" s="19"/>
      <c r="R17" s="19"/>
      <c r="S17" s="19"/>
      <c r="T17" s="19">
        <v>833.51</v>
      </c>
      <c r="U17" s="19"/>
      <c r="V17" s="19"/>
      <c r="W17" s="19"/>
      <c r="X17" s="19"/>
      <c r="Y17" s="19"/>
      <c r="Z17" s="19">
        <v>55567.38</v>
      </c>
      <c r="AA17" s="26">
        <f t="shared" si="16"/>
        <v>56400.89</v>
      </c>
      <c r="AB17" s="19"/>
      <c r="AC17" s="19"/>
      <c r="AD17" s="19"/>
      <c r="AE17" s="19"/>
      <c r="AF17" s="19">
        <v>536959.94999999995</v>
      </c>
      <c r="AG17" s="19"/>
      <c r="AH17" s="19"/>
      <c r="AI17" s="19"/>
      <c r="AJ17" s="19"/>
      <c r="AK17" s="19"/>
      <c r="AL17" s="19">
        <v>589576.97</v>
      </c>
      <c r="AM17" s="19"/>
      <c r="AN17" s="26">
        <v>1126536.92</v>
      </c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26">
        <f t="shared" si="17"/>
        <v>0</v>
      </c>
      <c r="BB17" s="19"/>
      <c r="BC17" s="19">
        <v>5601.27</v>
      </c>
      <c r="BD17" s="19"/>
      <c r="BE17" s="19">
        <v>62706.9</v>
      </c>
      <c r="BF17" s="19"/>
      <c r="BG17" s="19">
        <v>2883258.57</v>
      </c>
      <c r="BH17" s="19">
        <v>189839.05</v>
      </c>
      <c r="BI17" s="19"/>
      <c r="BJ17" s="19"/>
      <c r="BK17" s="19"/>
      <c r="BL17" s="19">
        <v>1529731.97</v>
      </c>
      <c r="BM17" s="19"/>
      <c r="BN17" s="26">
        <f t="shared" si="18"/>
        <v>4671137.76</v>
      </c>
      <c r="BO17" s="19"/>
      <c r="BP17" s="19"/>
      <c r="BQ17" s="19"/>
      <c r="BR17" s="19">
        <v>946.35</v>
      </c>
      <c r="BS17" s="19"/>
      <c r="BT17" s="19">
        <v>2849365.03</v>
      </c>
      <c r="BU17" s="19">
        <v>15339.45</v>
      </c>
      <c r="BV17" s="19">
        <v>81920.320000000007</v>
      </c>
      <c r="BW17" s="19">
        <v>60</v>
      </c>
      <c r="BX17" s="19">
        <v>12819.35</v>
      </c>
      <c r="BY17" s="19"/>
      <c r="BZ17" s="19"/>
      <c r="CA17" s="26">
        <f t="shared" si="19"/>
        <v>2960450.5</v>
      </c>
      <c r="CB17" s="19">
        <v>0</v>
      </c>
      <c r="CC17" s="19">
        <v>4567.3999999999996</v>
      </c>
      <c r="CD17" s="19">
        <v>85351.54</v>
      </c>
      <c r="CE17" s="19">
        <v>0</v>
      </c>
      <c r="CF17" s="19">
        <v>0</v>
      </c>
      <c r="CG17" s="19">
        <v>0</v>
      </c>
      <c r="CH17" s="19">
        <v>0</v>
      </c>
      <c r="CI17" s="19">
        <v>0</v>
      </c>
      <c r="CJ17" s="19">
        <v>0</v>
      </c>
      <c r="CK17" s="19">
        <v>0</v>
      </c>
      <c r="CL17" s="19">
        <v>0</v>
      </c>
      <c r="CM17" s="19">
        <v>0</v>
      </c>
      <c r="CN17" s="26">
        <f t="shared" si="20"/>
        <v>89918.939999999988</v>
      </c>
      <c r="CO17" s="19">
        <v>0</v>
      </c>
      <c r="CP17" s="19">
        <v>0</v>
      </c>
      <c r="CQ17" s="19">
        <v>0</v>
      </c>
      <c r="CR17" s="19">
        <v>0</v>
      </c>
      <c r="CS17" s="19">
        <v>0</v>
      </c>
      <c r="CT17" s="19">
        <v>0</v>
      </c>
      <c r="CU17" s="19">
        <v>0</v>
      </c>
      <c r="CV17" s="19">
        <v>0</v>
      </c>
      <c r="CW17" s="19">
        <v>0</v>
      </c>
      <c r="CX17" s="19">
        <v>0</v>
      </c>
      <c r="CY17" s="19">
        <v>0</v>
      </c>
      <c r="CZ17" s="19">
        <v>0</v>
      </c>
      <c r="DA17" s="26">
        <f t="shared" si="21"/>
        <v>0</v>
      </c>
      <c r="DB17" s="19">
        <v>0</v>
      </c>
      <c r="DC17" s="19">
        <v>0</v>
      </c>
      <c r="DD17" s="19">
        <v>0</v>
      </c>
      <c r="DE17" s="19">
        <v>0</v>
      </c>
      <c r="DF17" s="19">
        <v>0</v>
      </c>
      <c r="DG17" s="19">
        <v>0</v>
      </c>
      <c r="DH17" s="19">
        <v>0</v>
      </c>
      <c r="DI17" s="19">
        <v>0</v>
      </c>
      <c r="DJ17" s="19">
        <v>6950.93</v>
      </c>
      <c r="DK17" s="19">
        <v>0</v>
      </c>
      <c r="DL17" s="19">
        <v>0</v>
      </c>
      <c r="DM17" s="19">
        <v>0</v>
      </c>
      <c r="DN17" s="26">
        <f t="shared" si="23"/>
        <v>6950.93</v>
      </c>
      <c r="DO17" s="49">
        <v>0</v>
      </c>
      <c r="DP17" s="49">
        <v>0</v>
      </c>
      <c r="DQ17" s="49">
        <v>0</v>
      </c>
      <c r="DR17" s="49">
        <v>0</v>
      </c>
      <c r="DS17" s="49">
        <v>0</v>
      </c>
      <c r="DT17" s="49">
        <v>0</v>
      </c>
      <c r="DU17" s="49">
        <v>0</v>
      </c>
      <c r="DV17" s="49">
        <v>0</v>
      </c>
      <c r="DW17" s="49">
        <v>0</v>
      </c>
      <c r="DX17" s="49">
        <v>0</v>
      </c>
      <c r="DY17" s="49">
        <v>0</v>
      </c>
      <c r="DZ17" s="49">
        <v>0</v>
      </c>
      <c r="EA17" s="27">
        <f t="shared" si="116"/>
        <v>0</v>
      </c>
      <c r="EB17" s="49">
        <v>0</v>
      </c>
      <c r="EC17" s="49">
        <v>0</v>
      </c>
      <c r="ED17" s="49">
        <v>0</v>
      </c>
      <c r="EE17" s="49">
        <v>0</v>
      </c>
      <c r="EF17" s="49">
        <v>0</v>
      </c>
      <c r="EG17" s="49">
        <v>0</v>
      </c>
      <c r="EH17" s="49">
        <v>0</v>
      </c>
      <c r="EI17" s="49">
        <v>0</v>
      </c>
      <c r="EJ17" s="49">
        <v>0</v>
      </c>
      <c r="EK17" s="49">
        <v>0</v>
      </c>
      <c r="EL17" s="49">
        <v>0</v>
      </c>
      <c r="EM17" s="49">
        <v>0</v>
      </c>
      <c r="EN17" s="63">
        <f t="shared" si="39"/>
        <v>0</v>
      </c>
      <c r="EO17" s="49">
        <v>0</v>
      </c>
      <c r="EP17" s="49">
        <v>0</v>
      </c>
      <c r="EQ17" s="49">
        <v>0</v>
      </c>
      <c r="ER17" s="49">
        <v>0</v>
      </c>
      <c r="ES17" s="49">
        <v>0</v>
      </c>
      <c r="ET17" s="49">
        <v>0</v>
      </c>
      <c r="EU17" s="49">
        <v>0</v>
      </c>
      <c r="EV17" s="49">
        <v>0</v>
      </c>
      <c r="EW17" s="49">
        <v>0</v>
      </c>
      <c r="EX17" s="49">
        <v>0</v>
      </c>
      <c r="EY17" s="49">
        <v>0</v>
      </c>
      <c r="EZ17" s="49">
        <v>0</v>
      </c>
      <c r="FA17" s="63">
        <f t="shared" si="27"/>
        <v>0</v>
      </c>
      <c r="FB17" s="49">
        <v>0</v>
      </c>
      <c r="FC17" s="49">
        <v>0</v>
      </c>
      <c r="FD17" s="49">
        <v>0</v>
      </c>
      <c r="FE17" s="49">
        <v>0</v>
      </c>
      <c r="FF17" s="49">
        <v>0</v>
      </c>
      <c r="FG17" s="49">
        <v>0</v>
      </c>
      <c r="FH17" s="49">
        <v>0</v>
      </c>
      <c r="FI17" s="49">
        <v>0</v>
      </c>
      <c r="FJ17" s="49">
        <v>0</v>
      </c>
      <c r="FK17" s="49">
        <v>0</v>
      </c>
      <c r="FL17" s="49">
        <v>0</v>
      </c>
      <c r="FM17" s="49">
        <v>0</v>
      </c>
      <c r="FN17" s="63">
        <f t="shared" si="28"/>
        <v>0</v>
      </c>
      <c r="FO17" s="49">
        <v>0</v>
      </c>
      <c r="FP17" s="49">
        <v>0</v>
      </c>
      <c r="FQ17" s="49">
        <v>0</v>
      </c>
      <c r="FR17" s="49">
        <v>0</v>
      </c>
      <c r="FS17" s="49">
        <v>0</v>
      </c>
      <c r="FT17" s="49">
        <v>0</v>
      </c>
      <c r="FU17" s="49">
        <v>0</v>
      </c>
      <c r="FV17" s="49">
        <v>0</v>
      </c>
      <c r="FW17" s="49">
        <v>0</v>
      </c>
      <c r="FX17" s="49">
        <v>0</v>
      </c>
      <c r="FY17" s="49">
        <v>0</v>
      </c>
      <c r="FZ17" s="49">
        <v>0</v>
      </c>
      <c r="GA17" s="68">
        <f t="shared" si="30"/>
        <v>0</v>
      </c>
      <c r="GB17" s="49">
        <v>0</v>
      </c>
      <c r="GC17" s="49">
        <v>1066149.83</v>
      </c>
      <c r="GD17" s="49">
        <v>1492003.54</v>
      </c>
      <c r="GE17" s="49">
        <v>2311713.69</v>
      </c>
      <c r="GF17" s="49">
        <v>507754.3</v>
      </c>
      <c r="GG17" s="49">
        <v>3820264.75</v>
      </c>
      <c r="GH17" s="49">
        <v>949146.29</v>
      </c>
      <c r="GI17" s="49">
        <v>339284.55</v>
      </c>
      <c r="GJ17" s="49">
        <v>0</v>
      </c>
      <c r="GK17" s="49">
        <v>0</v>
      </c>
      <c r="GL17" s="49">
        <v>0</v>
      </c>
      <c r="GM17" s="49">
        <v>0</v>
      </c>
      <c r="GN17" s="68">
        <v>10486316.949999999</v>
      </c>
      <c r="GO17" s="49">
        <v>0</v>
      </c>
      <c r="GP17" s="49">
        <v>0</v>
      </c>
      <c r="GQ17" s="49">
        <v>0</v>
      </c>
      <c r="GR17" s="81">
        <v>0</v>
      </c>
      <c r="GS17" s="49">
        <v>0</v>
      </c>
      <c r="GT17" s="86">
        <v>0</v>
      </c>
      <c r="GU17" s="86">
        <v>0</v>
      </c>
      <c r="GV17" s="86">
        <v>0</v>
      </c>
      <c r="GW17" s="86">
        <v>0</v>
      </c>
      <c r="GX17" s="86">
        <v>0</v>
      </c>
      <c r="GY17" s="86">
        <v>0</v>
      </c>
      <c r="GZ17" s="86">
        <v>0</v>
      </c>
      <c r="HA17" s="68">
        <f t="shared" si="40"/>
        <v>0</v>
      </c>
      <c r="HB17" s="86">
        <v>0</v>
      </c>
      <c r="HC17" s="86">
        <v>0</v>
      </c>
      <c r="HD17" s="86">
        <v>0</v>
      </c>
      <c r="HE17" s="86">
        <v>0</v>
      </c>
      <c r="HF17" s="86">
        <v>0</v>
      </c>
      <c r="HG17" s="86">
        <v>0</v>
      </c>
      <c r="HH17" s="86">
        <v>0</v>
      </c>
      <c r="HI17" s="86">
        <v>0</v>
      </c>
      <c r="HJ17" s="86">
        <v>0</v>
      </c>
      <c r="HK17" s="86">
        <v>0</v>
      </c>
      <c r="HL17" s="86">
        <v>0</v>
      </c>
      <c r="HM17" s="86">
        <v>0</v>
      </c>
      <c r="HN17" s="68">
        <f t="shared" si="12"/>
        <v>0</v>
      </c>
      <c r="HO17" s="86">
        <v>0</v>
      </c>
      <c r="HP17" s="86">
        <v>0</v>
      </c>
      <c r="HQ17" s="86">
        <v>0</v>
      </c>
      <c r="HR17" s="86">
        <v>0</v>
      </c>
      <c r="HS17" s="86">
        <v>0</v>
      </c>
      <c r="HT17" s="86">
        <v>0</v>
      </c>
      <c r="HU17" s="86">
        <v>0</v>
      </c>
      <c r="HV17" s="86">
        <v>0</v>
      </c>
      <c r="HW17" s="86">
        <v>0</v>
      </c>
      <c r="HX17" s="86">
        <v>0</v>
      </c>
      <c r="HY17" s="86">
        <v>0</v>
      </c>
      <c r="HZ17" s="86">
        <v>0</v>
      </c>
      <c r="IA17" s="68">
        <f t="shared" si="36"/>
        <v>0</v>
      </c>
      <c r="IB17" s="86">
        <v>0</v>
      </c>
      <c r="IC17" s="86">
        <v>0</v>
      </c>
      <c r="ID17" s="86">
        <v>0</v>
      </c>
      <c r="IE17" s="86">
        <v>0</v>
      </c>
      <c r="IF17" s="86">
        <v>0</v>
      </c>
      <c r="IG17" s="86">
        <v>0</v>
      </c>
      <c r="IH17" s="86">
        <v>0</v>
      </c>
      <c r="II17" s="86">
        <v>0</v>
      </c>
      <c r="IJ17" s="68">
        <f t="shared" si="38"/>
        <v>0</v>
      </c>
    </row>
    <row r="18" spans="1:244" s="11" customFormat="1" ht="18.75" x14ac:dyDescent="0.3">
      <c r="A18" s="7" t="s">
        <v>50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26">
        <f t="shared" si="15"/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26">
        <f t="shared" si="16"/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26">
        <v>0</v>
      </c>
      <c r="AO18" s="18">
        <v>0</v>
      </c>
      <c r="AP18" s="18">
        <v>0</v>
      </c>
      <c r="AQ18" s="18">
        <v>0</v>
      </c>
      <c r="AR18" s="18">
        <v>0</v>
      </c>
      <c r="AS18" s="18">
        <v>0</v>
      </c>
      <c r="AT18" s="18">
        <v>0</v>
      </c>
      <c r="AU18" s="18">
        <v>0</v>
      </c>
      <c r="AV18" s="18">
        <v>0</v>
      </c>
      <c r="AW18" s="18">
        <v>0</v>
      </c>
      <c r="AX18" s="18">
        <v>0</v>
      </c>
      <c r="AY18" s="18">
        <v>0</v>
      </c>
      <c r="AZ18" s="18">
        <v>0</v>
      </c>
      <c r="BA18" s="26">
        <f t="shared" si="17"/>
        <v>0</v>
      </c>
      <c r="BB18" s="18">
        <v>0</v>
      </c>
      <c r="BC18" s="18">
        <v>0</v>
      </c>
      <c r="BD18" s="18">
        <v>0</v>
      </c>
      <c r="BE18" s="18">
        <v>0</v>
      </c>
      <c r="BF18" s="18">
        <v>0</v>
      </c>
      <c r="BG18" s="18">
        <v>0</v>
      </c>
      <c r="BH18" s="18">
        <v>0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26">
        <f t="shared" si="18"/>
        <v>0</v>
      </c>
      <c r="BO18" s="18">
        <v>0</v>
      </c>
      <c r="BP18" s="18">
        <v>0</v>
      </c>
      <c r="BQ18" s="18">
        <v>0</v>
      </c>
      <c r="BR18" s="18">
        <v>0</v>
      </c>
      <c r="BS18" s="18">
        <v>0</v>
      </c>
      <c r="BT18" s="18">
        <v>0</v>
      </c>
      <c r="BU18" s="18">
        <v>0</v>
      </c>
      <c r="BV18" s="18">
        <v>0</v>
      </c>
      <c r="BW18" s="18">
        <v>0</v>
      </c>
      <c r="BX18" s="18">
        <v>0</v>
      </c>
      <c r="BY18" s="18">
        <v>0</v>
      </c>
      <c r="BZ18" s="18">
        <v>0</v>
      </c>
      <c r="CA18" s="26">
        <f t="shared" si="19"/>
        <v>0</v>
      </c>
      <c r="CB18" s="18">
        <v>0</v>
      </c>
      <c r="CC18" s="18">
        <v>0</v>
      </c>
      <c r="CD18" s="18">
        <v>0</v>
      </c>
      <c r="CE18" s="18">
        <v>0</v>
      </c>
      <c r="CF18" s="18">
        <v>0</v>
      </c>
      <c r="CG18" s="18">
        <v>0</v>
      </c>
      <c r="CH18" s="18">
        <v>0</v>
      </c>
      <c r="CI18" s="18">
        <v>0</v>
      </c>
      <c r="CJ18" s="18">
        <v>0</v>
      </c>
      <c r="CK18" s="18">
        <v>0</v>
      </c>
      <c r="CL18" s="18">
        <v>0</v>
      </c>
      <c r="CM18" s="18">
        <v>0</v>
      </c>
      <c r="CN18" s="26">
        <f t="shared" si="20"/>
        <v>0</v>
      </c>
      <c r="CO18" s="18">
        <v>0</v>
      </c>
      <c r="CP18" s="18">
        <v>0</v>
      </c>
      <c r="CQ18" s="18">
        <v>0</v>
      </c>
      <c r="CR18" s="18">
        <v>0</v>
      </c>
      <c r="CS18" s="18">
        <v>0</v>
      </c>
      <c r="CT18" s="18">
        <v>0</v>
      </c>
      <c r="CU18" s="18">
        <v>0</v>
      </c>
      <c r="CV18" s="18">
        <v>0</v>
      </c>
      <c r="CW18" s="18">
        <v>0</v>
      </c>
      <c r="CX18" s="18">
        <v>0</v>
      </c>
      <c r="CY18" s="18">
        <v>0</v>
      </c>
      <c r="CZ18" s="18">
        <v>0</v>
      </c>
      <c r="DA18" s="26">
        <f t="shared" si="21"/>
        <v>0</v>
      </c>
      <c r="DB18" s="18">
        <v>0</v>
      </c>
      <c r="DC18" s="18">
        <v>0</v>
      </c>
      <c r="DD18" s="18">
        <v>0</v>
      </c>
      <c r="DE18" s="18">
        <v>0</v>
      </c>
      <c r="DF18" s="18">
        <v>0</v>
      </c>
      <c r="DG18" s="18">
        <v>0</v>
      </c>
      <c r="DH18" s="18">
        <v>0</v>
      </c>
      <c r="DI18" s="18">
        <v>0</v>
      </c>
      <c r="DJ18" s="18">
        <v>0</v>
      </c>
      <c r="DK18" s="18">
        <v>0</v>
      </c>
      <c r="DL18" s="18">
        <v>0</v>
      </c>
      <c r="DM18" s="18">
        <v>0</v>
      </c>
      <c r="DN18" s="26">
        <f t="shared" si="23"/>
        <v>0</v>
      </c>
      <c r="DO18" s="18">
        <v>0</v>
      </c>
      <c r="DP18" s="18">
        <v>0</v>
      </c>
      <c r="DQ18" s="18">
        <v>0</v>
      </c>
      <c r="DR18" s="18">
        <v>0</v>
      </c>
      <c r="DS18" s="18">
        <v>0</v>
      </c>
      <c r="DT18" s="18">
        <v>0</v>
      </c>
      <c r="DU18" s="18">
        <v>0</v>
      </c>
      <c r="DV18" s="18">
        <v>0</v>
      </c>
      <c r="DW18" s="18">
        <v>0</v>
      </c>
      <c r="DX18" s="18">
        <v>0</v>
      </c>
      <c r="DY18" s="18">
        <v>0</v>
      </c>
      <c r="DZ18" s="18">
        <v>0</v>
      </c>
      <c r="EA18" s="27">
        <f t="shared" si="116"/>
        <v>0</v>
      </c>
      <c r="EB18" s="18">
        <v>75303476</v>
      </c>
      <c r="EC18" s="19">
        <v>105514312</v>
      </c>
      <c r="ED18" s="19">
        <v>164423868</v>
      </c>
      <c r="EE18" s="19">
        <v>119467930</v>
      </c>
      <c r="EF18" s="19">
        <v>139683524</v>
      </c>
      <c r="EG18" s="19">
        <v>127851928</v>
      </c>
      <c r="EH18" s="19">
        <v>121092674</v>
      </c>
      <c r="EI18" s="19">
        <v>155708024</v>
      </c>
      <c r="EJ18" s="19">
        <v>116352932</v>
      </c>
      <c r="EK18" s="19">
        <v>124856570</v>
      </c>
      <c r="EL18" s="19">
        <v>138889498</v>
      </c>
      <c r="EM18" s="19">
        <v>128774932</v>
      </c>
      <c r="EN18" s="64">
        <f t="shared" si="39"/>
        <v>1517919668</v>
      </c>
      <c r="EO18" s="18">
        <v>172708990.13999999</v>
      </c>
      <c r="EP18" s="19">
        <v>126168279.72</v>
      </c>
      <c r="EQ18" s="19">
        <v>198940832.75999999</v>
      </c>
      <c r="ER18" s="19">
        <v>137491063.94</v>
      </c>
      <c r="ES18" s="19">
        <v>136340779.96000001</v>
      </c>
      <c r="ET18" s="19">
        <v>136079611.63999999</v>
      </c>
      <c r="EU18" s="19">
        <v>120614110.44</v>
      </c>
      <c r="EV18" s="19">
        <v>164952136.69999999</v>
      </c>
      <c r="EW18" s="19">
        <v>124289506.90000001</v>
      </c>
      <c r="EX18" s="19">
        <v>122964948.52</v>
      </c>
      <c r="EY18" s="19">
        <v>134355885.52000001</v>
      </c>
      <c r="EZ18" s="19">
        <v>150516800.03999999</v>
      </c>
      <c r="FA18" s="64">
        <f t="shared" si="27"/>
        <v>1725422946.28</v>
      </c>
      <c r="FB18" s="18">
        <v>148788519.52000001</v>
      </c>
      <c r="FC18" s="19">
        <v>120981604.36</v>
      </c>
      <c r="FD18" s="19">
        <v>141097416.91999999</v>
      </c>
      <c r="FE18" s="19">
        <v>73833939.439999998</v>
      </c>
      <c r="FF18" s="19">
        <v>81720966.920000002</v>
      </c>
      <c r="FG18" s="19">
        <v>148904296.36000001</v>
      </c>
      <c r="FH18" s="19">
        <v>74870906.439999998</v>
      </c>
      <c r="FI18" s="19">
        <v>121297540.84</v>
      </c>
      <c r="FJ18" s="19">
        <v>163513705.78</v>
      </c>
      <c r="FK18" s="19">
        <v>143142393.19999999</v>
      </c>
      <c r="FL18" s="19">
        <v>153660691.28</v>
      </c>
      <c r="FM18" s="19">
        <v>136379997.96000001</v>
      </c>
      <c r="FN18" s="64">
        <f t="shared" si="28"/>
        <v>1508191979.0200002</v>
      </c>
      <c r="FO18" s="19">
        <v>114900245.08</v>
      </c>
      <c r="FP18" s="19">
        <v>91619367.519999996</v>
      </c>
      <c r="FQ18" s="19">
        <v>130350447.76000001</v>
      </c>
      <c r="FR18" s="19">
        <v>159793143.91999999</v>
      </c>
      <c r="FS18" s="19">
        <v>126182629.2</v>
      </c>
      <c r="FT18" s="19">
        <v>138983571.28</v>
      </c>
      <c r="FU18" s="19">
        <v>138523348.68000001</v>
      </c>
      <c r="FV18" s="19">
        <v>176232978.16</v>
      </c>
      <c r="FW18" s="19">
        <v>183547650.68000001</v>
      </c>
      <c r="FX18" s="19">
        <v>125391966.2</v>
      </c>
      <c r="FY18" s="19">
        <v>177300315.47999999</v>
      </c>
      <c r="FZ18" s="19">
        <v>189302195.78</v>
      </c>
      <c r="GA18" s="68">
        <f t="shared" si="30"/>
        <v>1752127859.7400002</v>
      </c>
      <c r="GB18" s="19">
        <v>107121067</v>
      </c>
      <c r="GC18" s="19">
        <v>134234565.16</v>
      </c>
      <c r="GD18" s="19">
        <v>193735141.08000001</v>
      </c>
      <c r="GE18" s="19">
        <v>130340950.31999999</v>
      </c>
      <c r="GF18" s="19">
        <v>137531392.97999999</v>
      </c>
      <c r="GG18" s="49">
        <v>170694504.88</v>
      </c>
      <c r="GH18" s="49">
        <v>159506448.84</v>
      </c>
      <c r="GI18" s="49">
        <v>146661171.59999999</v>
      </c>
      <c r="GJ18" s="49">
        <v>183438946.75999999</v>
      </c>
      <c r="GK18" s="49">
        <v>157864102.5</v>
      </c>
      <c r="GL18" s="49">
        <v>181467893.12</v>
      </c>
      <c r="GM18" s="49">
        <v>170759122.36000001</v>
      </c>
      <c r="GN18" s="68">
        <v>1873355306.5999999</v>
      </c>
      <c r="GO18" s="49">
        <v>125055535.44</v>
      </c>
      <c r="GP18" s="49">
        <v>115281889.58</v>
      </c>
      <c r="GQ18" s="49">
        <v>201259269.38999999</v>
      </c>
      <c r="GR18" s="81">
        <v>108569236.88</v>
      </c>
      <c r="GS18" s="49">
        <v>179069543.72</v>
      </c>
      <c r="GT18" s="86">
        <v>166615059.44</v>
      </c>
      <c r="GU18" s="86">
        <v>215660703.08000001</v>
      </c>
      <c r="GV18" s="86">
        <v>132219300.66</v>
      </c>
      <c r="GW18" s="86">
        <v>168362669.52000001</v>
      </c>
      <c r="GX18" s="86">
        <v>162290307.28</v>
      </c>
      <c r="GY18" s="86">
        <v>172505566.96000001</v>
      </c>
      <c r="GZ18" s="86">
        <v>151900238.40000001</v>
      </c>
      <c r="HA18" s="68">
        <f t="shared" si="40"/>
        <v>1898789320.3500001</v>
      </c>
      <c r="HB18" s="86">
        <v>197737179.91999999</v>
      </c>
      <c r="HC18" s="86">
        <v>169300842.52000001</v>
      </c>
      <c r="HD18" s="86">
        <v>130154876.56</v>
      </c>
      <c r="HE18" s="86">
        <v>154717459.97999999</v>
      </c>
      <c r="HF18" s="86">
        <v>179432144.34</v>
      </c>
      <c r="HG18" s="86">
        <v>191192483.56</v>
      </c>
      <c r="HH18" s="86">
        <v>173434198.47999999</v>
      </c>
      <c r="HI18" s="86">
        <v>192881708.72</v>
      </c>
      <c r="HJ18" s="86">
        <v>142266420.40000001</v>
      </c>
      <c r="HK18" s="86">
        <v>186675666.24000001</v>
      </c>
      <c r="HL18" s="86">
        <v>181003686.84</v>
      </c>
      <c r="HM18" s="86">
        <v>159064583.56</v>
      </c>
      <c r="HN18" s="68">
        <f t="shared" si="12"/>
        <v>2057861251.1200001</v>
      </c>
      <c r="HO18" s="86">
        <v>171998750.88</v>
      </c>
      <c r="HP18" s="86">
        <v>139907231.47999999</v>
      </c>
      <c r="HQ18" s="86">
        <v>178950616.12</v>
      </c>
      <c r="HR18" s="86">
        <v>152635541.08000001</v>
      </c>
      <c r="HS18" s="86">
        <v>190769077.03999999</v>
      </c>
      <c r="HT18" s="86">
        <v>135144376.69999999</v>
      </c>
      <c r="HU18" s="86">
        <v>182012493.31999999</v>
      </c>
      <c r="HV18" s="86">
        <v>162262814.63999999</v>
      </c>
      <c r="HW18" s="86">
        <v>218536717.28</v>
      </c>
      <c r="HX18" s="86">
        <v>198673667.31999999</v>
      </c>
      <c r="HY18" s="86">
        <v>155289863.31999999</v>
      </c>
      <c r="HZ18" s="86">
        <v>178249407.44</v>
      </c>
      <c r="IA18" s="68">
        <f t="shared" si="36"/>
        <v>2064430556.6199996</v>
      </c>
      <c r="IB18" s="86">
        <v>183193202.47999999</v>
      </c>
      <c r="IC18" s="86">
        <v>160709873.52000001</v>
      </c>
      <c r="ID18" s="86">
        <v>212571296.91999999</v>
      </c>
      <c r="IE18" s="86">
        <v>183121885.08000001</v>
      </c>
      <c r="IF18" s="86">
        <v>159740314.16</v>
      </c>
      <c r="IG18" s="86">
        <v>213439385.40000001</v>
      </c>
      <c r="IH18" s="86">
        <v>202020677.59999999</v>
      </c>
      <c r="II18" s="86">
        <v>203403336.68000001</v>
      </c>
      <c r="IJ18" s="68">
        <f t="shared" si="38"/>
        <v>1518199971.8399999</v>
      </c>
    </row>
    <row r="19" spans="1:244" s="11" customFormat="1" ht="18.75" x14ac:dyDescent="0.3">
      <c r="A19" s="4" t="s">
        <v>47</v>
      </c>
      <c r="B19" s="16">
        <v>1620239.98</v>
      </c>
      <c r="C19" s="17">
        <v>716691.83</v>
      </c>
      <c r="D19" s="17">
        <v>540237.9</v>
      </c>
      <c r="E19" s="17">
        <v>1038838.56</v>
      </c>
      <c r="F19" s="17">
        <v>1112752.6299999999</v>
      </c>
      <c r="G19" s="17">
        <v>2535367.5299999998</v>
      </c>
      <c r="H19" s="17">
        <v>300604.3</v>
      </c>
      <c r="I19" s="17">
        <v>690933.7</v>
      </c>
      <c r="J19" s="17">
        <v>346116.83</v>
      </c>
      <c r="K19" s="17">
        <v>479532.67</v>
      </c>
      <c r="L19" s="17">
        <v>557681.74</v>
      </c>
      <c r="M19" s="17">
        <v>313453.89</v>
      </c>
      <c r="N19" s="26">
        <f t="shared" si="15"/>
        <v>10252451.560000001</v>
      </c>
      <c r="O19" s="17">
        <v>349850.24</v>
      </c>
      <c r="P19" s="17">
        <v>344287.16</v>
      </c>
      <c r="Q19" s="17">
        <v>768066.99</v>
      </c>
      <c r="R19" s="17">
        <v>328598.83</v>
      </c>
      <c r="S19" s="17">
        <v>171432.31</v>
      </c>
      <c r="T19" s="17">
        <v>2385082.0099999998</v>
      </c>
      <c r="U19" s="17">
        <v>6329368.3600000003</v>
      </c>
      <c r="V19" s="17">
        <v>7078369.0099999998</v>
      </c>
      <c r="W19" s="17">
        <v>8500983.5899999999</v>
      </c>
      <c r="X19" s="17">
        <v>12143159.060000001</v>
      </c>
      <c r="Y19" s="17">
        <v>8632746.0099999998</v>
      </c>
      <c r="Z19" s="17">
        <v>20142320.539999999</v>
      </c>
      <c r="AA19" s="26">
        <f t="shared" si="16"/>
        <v>67174264.109999999</v>
      </c>
      <c r="AB19" s="17">
        <v>8910646.7899999991</v>
      </c>
      <c r="AC19" s="17">
        <v>8634573.8100000005</v>
      </c>
      <c r="AD19" s="17">
        <v>6657690.6900000004</v>
      </c>
      <c r="AE19" s="17">
        <v>7252918.21</v>
      </c>
      <c r="AF19" s="17">
        <v>7206023.29</v>
      </c>
      <c r="AG19" s="17">
        <v>5443061.1799999997</v>
      </c>
      <c r="AH19" s="17">
        <v>9983339.0099999998</v>
      </c>
      <c r="AI19" s="17">
        <v>10267156.48</v>
      </c>
      <c r="AJ19" s="17">
        <v>9115417.8900000006</v>
      </c>
      <c r="AK19" s="17">
        <v>13290932.66</v>
      </c>
      <c r="AL19" s="17">
        <v>20517048.710000001</v>
      </c>
      <c r="AM19" s="17">
        <v>15634384.93</v>
      </c>
      <c r="AN19" s="26">
        <v>122913193.65000001</v>
      </c>
      <c r="AO19" s="17">
        <v>11906830</v>
      </c>
      <c r="AP19" s="17">
        <v>11166781.59</v>
      </c>
      <c r="AQ19" s="17">
        <v>10069299.07</v>
      </c>
      <c r="AR19" s="17">
        <v>9798854.5299999993</v>
      </c>
      <c r="AS19" s="17">
        <v>9921304.3100000005</v>
      </c>
      <c r="AT19" s="17">
        <v>14888148.93</v>
      </c>
      <c r="AU19" s="17">
        <v>12036982.699999999</v>
      </c>
      <c r="AV19" s="17">
        <v>8824230.7799999993</v>
      </c>
      <c r="AW19" s="17">
        <v>9320742.1400000006</v>
      </c>
      <c r="AX19" s="17">
        <v>8691610.7599999998</v>
      </c>
      <c r="AY19" s="17">
        <v>9481751.1799999997</v>
      </c>
      <c r="AZ19" s="17">
        <v>10537930.529999999</v>
      </c>
      <c r="BA19" s="26">
        <f t="shared" si="17"/>
        <v>126644466.52000001</v>
      </c>
      <c r="BB19" s="17">
        <v>7119603.5300000003</v>
      </c>
      <c r="BC19" s="17">
        <v>13194635.24</v>
      </c>
      <c r="BD19" s="17">
        <v>16903956.670000002</v>
      </c>
      <c r="BE19" s="17">
        <v>10651228.68</v>
      </c>
      <c r="BF19" s="17">
        <v>11427393.25</v>
      </c>
      <c r="BG19" s="17">
        <v>8682266.1600000001</v>
      </c>
      <c r="BH19" s="17">
        <v>9027819.2699999996</v>
      </c>
      <c r="BI19" s="17">
        <v>6886991.4299999997</v>
      </c>
      <c r="BJ19" s="17">
        <v>8966539.5500000007</v>
      </c>
      <c r="BK19" s="17">
        <v>21019106.890000001</v>
      </c>
      <c r="BL19" s="17">
        <v>40469999.149999999</v>
      </c>
      <c r="BM19" s="17">
        <v>19299749.350000001</v>
      </c>
      <c r="BN19" s="26">
        <f t="shared" si="18"/>
        <v>173649289.16999999</v>
      </c>
      <c r="BO19" s="17">
        <v>21275698.91</v>
      </c>
      <c r="BP19" s="17">
        <v>17713071.109999999</v>
      </c>
      <c r="BQ19" s="17">
        <v>17690338.469999999</v>
      </c>
      <c r="BR19" s="17">
        <v>30262632.329999998</v>
      </c>
      <c r="BS19" s="17">
        <v>16289204.789999999</v>
      </c>
      <c r="BT19" s="17">
        <v>14031100.48</v>
      </c>
      <c r="BU19" s="17">
        <v>18272513.59</v>
      </c>
      <c r="BV19" s="17">
        <v>17811095.390000001</v>
      </c>
      <c r="BW19" s="17">
        <v>21500379.050000001</v>
      </c>
      <c r="BX19" s="17">
        <v>43154527.119999997</v>
      </c>
      <c r="BY19" s="17">
        <v>51587894.200000003</v>
      </c>
      <c r="BZ19" s="17">
        <v>46016827.520000003</v>
      </c>
      <c r="CA19" s="26">
        <f t="shared" si="19"/>
        <v>315605282.95999998</v>
      </c>
      <c r="CB19" s="17">
        <v>29890924.43</v>
      </c>
      <c r="CC19" s="17">
        <v>23285448.91</v>
      </c>
      <c r="CD19" s="17">
        <v>31326577.98</v>
      </c>
      <c r="CE19" s="17">
        <v>29533035.09</v>
      </c>
      <c r="CF19" s="17">
        <v>34678954.280000001</v>
      </c>
      <c r="CG19" s="17">
        <v>26403422.289999999</v>
      </c>
      <c r="CH19" s="17">
        <v>27902671.460000001</v>
      </c>
      <c r="CI19" s="17">
        <v>26223529.34</v>
      </c>
      <c r="CJ19" s="17">
        <v>27494062.120000001</v>
      </c>
      <c r="CK19" s="17">
        <v>26434757.859999999</v>
      </c>
      <c r="CL19" s="17">
        <v>19942539.789999999</v>
      </c>
      <c r="CM19" s="17">
        <v>30931529.420000002</v>
      </c>
      <c r="CN19" s="26">
        <f t="shared" si="20"/>
        <v>334047452.97000003</v>
      </c>
      <c r="CO19" s="17">
        <v>31939930.91</v>
      </c>
      <c r="CP19" s="17">
        <v>30243510.100000001</v>
      </c>
      <c r="CQ19" s="17">
        <v>36317774.240000002</v>
      </c>
      <c r="CR19" s="17">
        <v>21536592.149999999</v>
      </c>
      <c r="CS19" s="17">
        <v>29279344.579999998</v>
      </c>
      <c r="CT19" s="17">
        <v>26299039.100000001</v>
      </c>
      <c r="CU19" s="17">
        <v>28446575.300000001</v>
      </c>
      <c r="CV19" s="17">
        <v>34134868.700000003</v>
      </c>
      <c r="CW19" s="17">
        <v>29443722.629999999</v>
      </c>
      <c r="CX19" s="17">
        <v>43002877.740000002</v>
      </c>
      <c r="CY19" s="17">
        <v>31437312.629999999</v>
      </c>
      <c r="CZ19" s="17">
        <v>42106049.409999996</v>
      </c>
      <c r="DA19" s="26">
        <f t="shared" si="21"/>
        <v>384187597.49000001</v>
      </c>
      <c r="DB19" s="17">
        <v>34484657.140000001</v>
      </c>
      <c r="DC19" s="17">
        <v>42163544.57</v>
      </c>
      <c r="DD19" s="17">
        <v>35366688.960000001</v>
      </c>
      <c r="DE19" s="17">
        <v>26301037.739999998</v>
      </c>
      <c r="DF19" s="17">
        <v>25170292.460000001</v>
      </c>
      <c r="DG19" s="17">
        <v>30085179.940000001</v>
      </c>
      <c r="DH19" s="17">
        <v>31686492.699999999</v>
      </c>
      <c r="DI19" s="17">
        <v>24126385.41</v>
      </c>
      <c r="DJ19" s="17">
        <v>34997274.5</v>
      </c>
      <c r="DK19" s="17">
        <v>28707830.600000001</v>
      </c>
      <c r="DL19" s="17">
        <v>41104222.850000001</v>
      </c>
      <c r="DM19" s="17">
        <v>32381797.219999999</v>
      </c>
      <c r="DN19" s="26">
        <f t="shared" si="23"/>
        <v>386575404.09000003</v>
      </c>
      <c r="DO19" s="48">
        <v>39567102.350000001</v>
      </c>
      <c r="DP19" s="48">
        <v>23177764.039999999</v>
      </c>
      <c r="DQ19" s="48">
        <v>30206325.719999999</v>
      </c>
      <c r="DR19" s="48">
        <v>21592985.460000001</v>
      </c>
      <c r="DS19" s="48">
        <v>23890036.23</v>
      </c>
      <c r="DT19" s="48">
        <v>25667607.98</v>
      </c>
      <c r="DU19" s="48">
        <v>28590838.449999999</v>
      </c>
      <c r="DV19" s="48">
        <v>28498440.539999999</v>
      </c>
      <c r="DW19" s="48">
        <v>27683079.960000001</v>
      </c>
      <c r="DX19" s="48">
        <v>40906416.479999997</v>
      </c>
      <c r="DY19" s="54">
        <v>37354846.079999998</v>
      </c>
      <c r="DZ19" s="54">
        <v>55051744.009999998</v>
      </c>
      <c r="EA19" s="27">
        <f t="shared" si="116"/>
        <v>382187187.29999995</v>
      </c>
      <c r="EB19" s="48">
        <v>35664336.670000002</v>
      </c>
      <c r="EC19" s="48">
        <v>29603194.239999998</v>
      </c>
      <c r="ED19" s="48">
        <v>31191958.350000001</v>
      </c>
      <c r="EE19" s="48">
        <v>43318839.539999999</v>
      </c>
      <c r="EF19" s="48">
        <v>36895446.57</v>
      </c>
      <c r="EG19" s="48">
        <v>37406109.960000001</v>
      </c>
      <c r="EH19" s="48">
        <v>35896498.960000001</v>
      </c>
      <c r="EI19" s="48">
        <v>38498964.479999997</v>
      </c>
      <c r="EJ19" s="48">
        <v>27517187.710000001</v>
      </c>
      <c r="EK19" s="48">
        <v>27801454.41</v>
      </c>
      <c r="EL19" s="48">
        <v>29447403.460000001</v>
      </c>
      <c r="EM19" s="48">
        <v>32799394.609999999</v>
      </c>
      <c r="EN19" s="47">
        <f t="shared" si="39"/>
        <v>406040788.95999998</v>
      </c>
      <c r="EO19" s="48">
        <v>37728976.909999996</v>
      </c>
      <c r="EP19" s="48">
        <v>24432583.039999999</v>
      </c>
      <c r="EQ19" s="48">
        <v>30438039.649999999</v>
      </c>
      <c r="ER19" s="48">
        <v>26880784.359999999</v>
      </c>
      <c r="ES19" s="48">
        <v>41104452.579999998</v>
      </c>
      <c r="ET19" s="48">
        <v>30606186.030000001</v>
      </c>
      <c r="EU19" s="48">
        <v>35806202.18</v>
      </c>
      <c r="EV19" s="48">
        <v>33240032.34</v>
      </c>
      <c r="EW19" s="48">
        <v>31694688.899999999</v>
      </c>
      <c r="EX19" s="48">
        <v>31811870.359999999</v>
      </c>
      <c r="EY19" s="48">
        <v>37272585.969999999</v>
      </c>
      <c r="EZ19" s="48">
        <v>22214739.91</v>
      </c>
      <c r="FA19" s="47">
        <f t="shared" si="27"/>
        <v>383231142.23000008</v>
      </c>
      <c r="FB19" s="48">
        <v>32079617.850000001</v>
      </c>
      <c r="FC19" s="48">
        <v>18101277.359999999</v>
      </c>
      <c r="FD19" s="48">
        <v>19471543.09</v>
      </c>
      <c r="FE19" s="48">
        <v>1292492</v>
      </c>
      <c r="FF19" s="48">
        <v>1252758</v>
      </c>
      <c r="FG19" s="48">
        <v>3223178.99</v>
      </c>
      <c r="FH19" s="48">
        <v>16019654.73</v>
      </c>
      <c r="FI19" s="48">
        <v>25824315.859999999</v>
      </c>
      <c r="FJ19" s="48">
        <v>31338739.170000002</v>
      </c>
      <c r="FK19" s="48">
        <v>41091736.020000003</v>
      </c>
      <c r="FL19" s="48">
        <v>50740092.270000003</v>
      </c>
      <c r="FM19" s="48">
        <v>41266026.219999999</v>
      </c>
      <c r="FN19" s="47">
        <f t="shared" si="28"/>
        <v>281701431.56000006</v>
      </c>
      <c r="FO19" s="48">
        <v>51826742.57</v>
      </c>
      <c r="FP19" s="48">
        <v>81153975.159999996</v>
      </c>
      <c r="FQ19" s="48">
        <v>36385138.399999999</v>
      </c>
      <c r="FR19" s="48">
        <v>26355651.719999999</v>
      </c>
      <c r="FS19" s="48">
        <v>28037789.48</v>
      </c>
      <c r="FT19" s="48">
        <v>27965276.620000001</v>
      </c>
      <c r="FU19" s="48">
        <v>27380306.140000001</v>
      </c>
      <c r="FV19" s="48">
        <v>29600412.719999999</v>
      </c>
      <c r="FW19" s="48">
        <v>23482957.890000001</v>
      </c>
      <c r="FX19" s="48">
        <v>30317317.52</v>
      </c>
      <c r="FY19" s="48">
        <v>38550372.390000001</v>
      </c>
      <c r="FZ19" s="48">
        <v>46594201.840000004</v>
      </c>
      <c r="GA19" s="68">
        <f t="shared" si="30"/>
        <v>447650142.44999993</v>
      </c>
      <c r="GB19" s="48">
        <v>44422649.259999998</v>
      </c>
      <c r="GC19" s="48">
        <v>33681559.439999998</v>
      </c>
      <c r="GD19" s="48">
        <v>55541365.969999999</v>
      </c>
      <c r="GE19" s="48">
        <v>39261697.909999996</v>
      </c>
      <c r="GF19" s="48">
        <v>25503923.129999999</v>
      </c>
      <c r="GG19" s="48">
        <v>36154118</v>
      </c>
      <c r="GH19" s="48">
        <v>38569753.560000002</v>
      </c>
      <c r="GI19" s="48">
        <v>40267607.329999998</v>
      </c>
      <c r="GJ19" s="48">
        <v>61170999.369999997</v>
      </c>
      <c r="GK19" s="48">
        <v>42623470.490000002</v>
      </c>
      <c r="GL19" s="48">
        <v>38745776.020000003</v>
      </c>
      <c r="GM19" s="48">
        <v>39069431.68</v>
      </c>
      <c r="GN19" s="68">
        <v>495012352.15999997</v>
      </c>
      <c r="GO19" s="48">
        <v>31602912.199999999</v>
      </c>
      <c r="GP19" s="48">
        <v>29155692.93</v>
      </c>
      <c r="GQ19" s="48">
        <v>27553338.239999998</v>
      </c>
      <c r="GR19" s="80">
        <v>22762531.309999999</v>
      </c>
      <c r="GS19" s="48">
        <v>37145247.299999997</v>
      </c>
      <c r="GT19" s="85">
        <v>56321351.810000002</v>
      </c>
      <c r="GU19" s="85">
        <v>45158642.350000001</v>
      </c>
      <c r="GV19" s="85">
        <v>37609870.270000003</v>
      </c>
      <c r="GW19" s="85">
        <v>39716012.969999999</v>
      </c>
      <c r="GX19" s="85">
        <v>43087571.689999998</v>
      </c>
      <c r="GY19" s="85">
        <v>35625425.189999998</v>
      </c>
      <c r="GZ19" s="85">
        <v>34226792.68</v>
      </c>
      <c r="HA19" s="68">
        <f t="shared" si="40"/>
        <v>439965388.94</v>
      </c>
      <c r="HB19" s="85">
        <v>39838494.649999999</v>
      </c>
      <c r="HC19" s="85">
        <v>38541939.579999998</v>
      </c>
      <c r="HD19" s="89">
        <v>43186937.090000004</v>
      </c>
      <c r="HE19" s="85">
        <v>40845523.5</v>
      </c>
      <c r="HF19" s="85">
        <v>46784930.100000001</v>
      </c>
      <c r="HG19" s="85">
        <v>82640843.040000007</v>
      </c>
      <c r="HH19" s="85">
        <v>62551385.270000003</v>
      </c>
      <c r="HI19" s="85">
        <v>40397979.939999998</v>
      </c>
      <c r="HJ19" s="85">
        <v>34999750.57</v>
      </c>
      <c r="HK19" s="85">
        <v>52989251.479999997</v>
      </c>
      <c r="HL19" s="85">
        <v>48044753.210000001</v>
      </c>
      <c r="HM19" s="85">
        <v>42868405.359999999</v>
      </c>
      <c r="HN19" s="68">
        <f t="shared" si="12"/>
        <v>573690193.78999996</v>
      </c>
      <c r="HO19" s="85">
        <v>60900341.939999998</v>
      </c>
      <c r="HP19" s="85">
        <v>53277585.780000001</v>
      </c>
      <c r="HQ19" s="85">
        <v>38828459.57</v>
      </c>
      <c r="HR19" s="85">
        <v>42497230.259999998</v>
      </c>
      <c r="HS19" s="85">
        <v>52503115.859999999</v>
      </c>
      <c r="HT19" s="85">
        <v>44434557.140000001</v>
      </c>
      <c r="HU19" s="85">
        <v>47161321.450000003</v>
      </c>
      <c r="HV19" s="85">
        <v>49237747.759999998</v>
      </c>
      <c r="HW19" s="85">
        <v>61690724.060000002</v>
      </c>
      <c r="HX19" s="85">
        <v>50021154.090000004</v>
      </c>
      <c r="HY19" s="85">
        <v>47959084.539999999</v>
      </c>
      <c r="HZ19" s="85">
        <v>46959159.979999997</v>
      </c>
      <c r="IA19" s="68">
        <f t="shared" si="36"/>
        <v>595470482.42999995</v>
      </c>
      <c r="IB19" s="85">
        <v>49755314.07</v>
      </c>
      <c r="IC19" s="85">
        <v>59564258.030000001</v>
      </c>
      <c r="ID19" s="85">
        <v>60147240.049999997</v>
      </c>
      <c r="IE19" s="85">
        <v>43778848.950000003</v>
      </c>
      <c r="IF19" s="85">
        <v>43440939.619999997</v>
      </c>
      <c r="IG19" s="85">
        <v>35501087.310000002</v>
      </c>
      <c r="IH19" s="85">
        <v>39880094.289999999</v>
      </c>
      <c r="II19" s="85">
        <v>36912234.759999998</v>
      </c>
      <c r="IJ19" s="68">
        <f t="shared" si="38"/>
        <v>368980017.07999998</v>
      </c>
    </row>
    <row r="20" spans="1:244" s="11" customFormat="1" ht="18.75" x14ac:dyDescent="0.3">
      <c r="A20" s="8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26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26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26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26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26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26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26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26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26"/>
      <c r="DO20" s="48"/>
      <c r="DP20" s="48"/>
      <c r="DQ20" s="48"/>
      <c r="DR20" s="48"/>
      <c r="DS20" s="48"/>
      <c r="DT20" s="48"/>
      <c r="DU20" s="48"/>
      <c r="DV20" s="48"/>
      <c r="DW20" s="48"/>
      <c r="DX20" s="48"/>
      <c r="DY20" s="48"/>
      <c r="DZ20" s="48"/>
      <c r="EA20" s="27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N20" s="47"/>
      <c r="EO20" s="48"/>
      <c r="EP20" s="48"/>
      <c r="EQ20" s="48"/>
      <c r="ER20" s="48"/>
      <c r="ES20" s="48"/>
      <c r="ET20" s="48"/>
      <c r="EU20" s="48"/>
      <c r="EV20" s="48"/>
      <c r="EW20" s="48"/>
      <c r="EX20" s="48"/>
      <c r="EY20" s="48"/>
      <c r="EZ20" s="48"/>
      <c r="FA20" s="47"/>
      <c r="FB20" s="48"/>
      <c r="FC20" s="48"/>
      <c r="FD20" s="48"/>
      <c r="FE20" s="48"/>
      <c r="FF20" s="48"/>
      <c r="FG20" s="48"/>
      <c r="FH20" s="48"/>
      <c r="FI20" s="48"/>
      <c r="FJ20" s="48"/>
      <c r="FK20" s="48"/>
      <c r="FL20" s="48"/>
      <c r="FM20" s="48"/>
      <c r="FN20" s="47"/>
      <c r="FO20" s="48"/>
      <c r="FP20" s="48"/>
      <c r="FQ20" s="48"/>
      <c r="FR20" s="48"/>
      <c r="FS20" s="48"/>
      <c r="FT20" s="48"/>
      <c r="FU20" s="48"/>
      <c r="FV20" s="48"/>
      <c r="FW20" s="48"/>
      <c r="FX20" s="48"/>
      <c r="FY20" s="48"/>
      <c r="FZ20" s="48"/>
      <c r="GA20" s="68"/>
      <c r="GB20" s="48"/>
      <c r="GC20" s="48"/>
      <c r="GD20" s="48"/>
      <c r="GE20" s="48"/>
      <c r="GF20" s="48"/>
      <c r="GG20" s="48"/>
      <c r="GH20" s="48"/>
      <c r="GI20" s="48"/>
      <c r="GJ20" s="48"/>
      <c r="GK20" s="48"/>
      <c r="GL20" s="48"/>
      <c r="GM20" s="48"/>
      <c r="GN20" s="68"/>
      <c r="GO20" s="48"/>
      <c r="GP20" s="48"/>
      <c r="GQ20" s="48"/>
      <c r="GR20" s="80"/>
      <c r="GS20" s="48"/>
      <c r="GT20" s="85"/>
      <c r="GU20" s="85"/>
      <c r="GV20" s="85"/>
      <c r="GW20" s="85"/>
      <c r="GX20" s="85"/>
      <c r="GY20" s="85"/>
      <c r="GZ20" s="85"/>
      <c r="HA20" s="68"/>
      <c r="HB20" s="85"/>
      <c r="HC20" s="85"/>
      <c r="HD20" s="85"/>
      <c r="HE20" s="85"/>
      <c r="HF20" s="85"/>
      <c r="HG20" s="85"/>
      <c r="HH20" s="85"/>
      <c r="HI20" s="85"/>
      <c r="HJ20" s="85"/>
      <c r="HK20" s="85"/>
      <c r="HL20" s="85"/>
      <c r="HM20" s="85"/>
      <c r="HN20" s="68"/>
      <c r="HO20" s="85"/>
      <c r="HP20" s="85"/>
      <c r="HQ20" s="85"/>
      <c r="HR20" s="85"/>
      <c r="HS20" s="85"/>
      <c r="HT20" s="85"/>
      <c r="HU20" s="85"/>
      <c r="HV20" s="85"/>
      <c r="HW20" s="85"/>
      <c r="HX20" s="85"/>
      <c r="HY20" s="85"/>
      <c r="HZ20" s="85"/>
      <c r="IA20" s="68"/>
      <c r="IB20" s="85"/>
      <c r="IC20" s="85"/>
      <c r="ID20" s="85"/>
      <c r="IE20" s="85"/>
      <c r="IF20" s="85"/>
      <c r="IG20" s="85"/>
      <c r="IH20" s="85"/>
      <c r="II20" s="85"/>
      <c r="IJ20" s="68"/>
    </row>
    <row r="21" spans="1:244" s="11" customFormat="1" ht="18.75" x14ac:dyDescent="0.3">
      <c r="A21" s="24" t="s">
        <v>28</v>
      </c>
      <c r="B21" s="25">
        <v>1768179530.8</v>
      </c>
      <c r="C21" s="26">
        <v>1600940985.45</v>
      </c>
      <c r="D21" s="26">
        <v>1609511194.76</v>
      </c>
      <c r="E21" s="26">
        <v>1783402793.3699999</v>
      </c>
      <c r="F21" s="26">
        <v>1882968653.74</v>
      </c>
      <c r="G21" s="26">
        <v>1827345933.1499999</v>
      </c>
      <c r="H21" s="26">
        <v>1822247782.27</v>
      </c>
      <c r="I21" s="26">
        <v>1651412100.76</v>
      </c>
      <c r="J21" s="26">
        <v>1586556127.0800002</v>
      </c>
      <c r="K21" s="26">
        <v>1869622269.1600001</v>
      </c>
      <c r="L21" s="26">
        <v>1743720047.29</v>
      </c>
      <c r="M21" s="26">
        <v>2100568062.5699999</v>
      </c>
      <c r="N21" s="26">
        <f t="shared" si="15"/>
        <v>21246475480.400002</v>
      </c>
      <c r="O21" s="26">
        <v>1355599362.53</v>
      </c>
      <c r="P21" s="26">
        <v>1370861622.3700001</v>
      </c>
      <c r="Q21" s="26">
        <v>1612386635.6100001</v>
      </c>
      <c r="R21" s="26">
        <v>1466300961.3800001</v>
      </c>
      <c r="S21" s="26">
        <v>1443873681.9400001</v>
      </c>
      <c r="T21" s="26">
        <v>1535478970</v>
      </c>
      <c r="U21" s="26">
        <v>1481087846.1900001</v>
      </c>
      <c r="V21" s="26">
        <v>1465571808.8500001</v>
      </c>
      <c r="W21" s="26">
        <v>1363069296.2899997</v>
      </c>
      <c r="X21" s="26">
        <v>1695992576.3299999</v>
      </c>
      <c r="Y21" s="26">
        <v>1712694456.1799998</v>
      </c>
      <c r="Z21" s="26">
        <v>1861740127.27</v>
      </c>
      <c r="AA21" s="26">
        <f>SUM(O21:Z21)</f>
        <v>18364657344.939999</v>
      </c>
      <c r="AB21" s="26">
        <v>1131467673.6200001</v>
      </c>
      <c r="AC21" s="26">
        <v>1215978142.1399999</v>
      </c>
      <c r="AD21" s="26">
        <v>1744105910.8399999</v>
      </c>
      <c r="AE21" s="26">
        <v>1504290352.6600001</v>
      </c>
      <c r="AF21" s="26">
        <v>1546931862</v>
      </c>
      <c r="AG21" s="26">
        <v>1771068760.3800001</v>
      </c>
      <c r="AH21" s="26">
        <v>1737100983.01</v>
      </c>
      <c r="AI21" s="26">
        <v>1753535611.8700001</v>
      </c>
      <c r="AJ21" s="26">
        <v>1706840712.01</v>
      </c>
      <c r="AK21" s="26">
        <v>1870379340.6700001</v>
      </c>
      <c r="AL21" s="26">
        <v>1830957151.4100001</v>
      </c>
      <c r="AM21" s="26">
        <v>1816689888.5599999</v>
      </c>
      <c r="AN21" s="26">
        <v>19629346389.170002</v>
      </c>
      <c r="AO21" s="26">
        <v>1257150687.5</v>
      </c>
      <c r="AP21" s="26">
        <v>1381559265.9400001</v>
      </c>
      <c r="AQ21" s="26">
        <v>1675452262.3299999</v>
      </c>
      <c r="AR21" s="26">
        <v>1459795297.0799999</v>
      </c>
      <c r="AS21" s="26">
        <v>1634270375.8600001</v>
      </c>
      <c r="AT21" s="26">
        <v>1670973538.1300001</v>
      </c>
      <c r="AU21" s="26">
        <v>1648290345.9300001</v>
      </c>
      <c r="AV21" s="26">
        <v>1586952275.8599999</v>
      </c>
      <c r="AW21" s="26">
        <v>1497002520.5</v>
      </c>
      <c r="AX21" s="26">
        <v>1691255192.3900001</v>
      </c>
      <c r="AY21" s="26">
        <v>1764788017.3000002</v>
      </c>
      <c r="AZ21" s="26">
        <v>1663508744.79</v>
      </c>
      <c r="BA21" s="26">
        <f t="shared" si="17"/>
        <v>18930998523.610001</v>
      </c>
      <c r="BB21" s="26">
        <v>1252751690.95</v>
      </c>
      <c r="BC21" s="26">
        <v>1344687371.1699998</v>
      </c>
      <c r="BD21" s="26">
        <v>1553528593.0899999</v>
      </c>
      <c r="BE21" s="26">
        <v>1355366798.8600001</v>
      </c>
      <c r="BF21" s="26">
        <v>1621396847.2</v>
      </c>
      <c r="BG21" s="26">
        <v>1565203449.6499999</v>
      </c>
      <c r="BH21" s="26">
        <v>1871080649.3499999</v>
      </c>
      <c r="BI21" s="26">
        <v>1597449189.6900001</v>
      </c>
      <c r="BJ21" s="26">
        <v>1443853356.0999999</v>
      </c>
      <c r="BK21" s="26">
        <v>1730559574.7800002</v>
      </c>
      <c r="BL21" s="26">
        <v>2010741395.45</v>
      </c>
      <c r="BM21" s="26">
        <v>1721515627.24</v>
      </c>
      <c r="BN21" s="26">
        <f t="shared" si="18"/>
        <v>19068134543.530003</v>
      </c>
      <c r="BO21" s="26">
        <v>1469850397.8200002</v>
      </c>
      <c r="BP21" s="26">
        <v>1441401915.5900002</v>
      </c>
      <c r="BQ21" s="26">
        <v>1554629009.8699999</v>
      </c>
      <c r="BR21" s="26">
        <v>1380290984.04</v>
      </c>
      <c r="BS21" s="26">
        <v>1631777785.3399999</v>
      </c>
      <c r="BT21" s="26">
        <v>1498283772.3300002</v>
      </c>
      <c r="BU21" s="26">
        <v>1717115674.8499999</v>
      </c>
      <c r="BV21" s="26">
        <v>1547127625.6500001</v>
      </c>
      <c r="BW21" s="26">
        <v>1483735034.7900002</v>
      </c>
      <c r="BX21" s="26">
        <v>1904773101.03</v>
      </c>
      <c r="BY21" s="26">
        <v>1852016003.3099999</v>
      </c>
      <c r="BZ21" s="26">
        <v>1822843127</v>
      </c>
      <c r="CA21" s="26">
        <f t="shared" si="19"/>
        <v>19303844431.620003</v>
      </c>
      <c r="CB21" s="26">
        <v>1458021637.47</v>
      </c>
      <c r="CC21" s="26">
        <v>1327119210.74</v>
      </c>
      <c r="CD21" s="26">
        <v>1673325873.6799998</v>
      </c>
      <c r="CE21" s="26">
        <v>1726913636.6899998</v>
      </c>
      <c r="CF21" s="26">
        <v>1869063607.47</v>
      </c>
      <c r="CG21" s="26">
        <v>1698814341.23</v>
      </c>
      <c r="CH21" s="26">
        <v>1919362679.9100001</v>
      </c>
      <c r="CI21" s="26">
        <v>1794905757.3000002</v>
      </c>
      <c r="CJ21" s="26">
        <v>1753429721.8899999</v>
      </c>
      <c r="CK21" s="26">
        <v>2184511612.2799997</v>
      </c>
      <c r="CL21" s="26">
        <v>2116238436.1099999</v>
      </c>
      <c r="CM21" s="26">
        <v>2123997386.8</v>
      </c>
      <c r="CN21" s="26">
        <f t="shared" si="20"/>
        <v>21645703901.569996</v>
      </c>
      <c r="CO21" s="26">
        <v>1683719477.8799999</v>
      </c>
      <c r="CP21" s="26">
        <v>1606926436.8799999</v>
      </c>
      <c r="CQ21" s="26">
        <v>1942434967.7800002</v>
      </c>
      <c r="CR21" s="26">
        <v>1762569401.1300001</v>
      </c>
      <c r="CS21" s="26">
        <v>2161802130.5999999</v>
      </c>
      <c r="CT21" s="26">
        <v>2047561199.5</v>
      </c>
      <c r="CU21" s="26">
        <v>2422590389.5499997</v>
      </c>
      <c r="CV21" s="26">
        <v>2006177811.1400001</v>
      </c>
      <c r="CW21" s="26">
        <v>2291840928.2699995</v>
      </c>
      <c r="CX21" s="26">
        <v>2348939805.1700001</v>
      </c>
      <c r="CY21" s="26">
        <v>2571243042.6799998</v>
      </c>
      <c r="CZ21" s="26">
        <v>2580940290.8500004</v>
      </c>
      <c r="DA21" s="26">
        <f t="shared" si="21"/>
        <v>25426745881.43</v>
      </c>
      <c r="DB21" s="26">
        <v>1763005131.1699998</v>
      </c>
      <c r="DC21" s="26">
        <f>+DC22+DC25+DC26</f>
        <v>1850753140.3099999</v>
      </c>
      <c r="DD21" s="26">
        <f>+SUM(DD26+DD25+DD22)</f>
        <v>2193460143.73</v>
      </c>
      <c r="DE21" s="26">
        <f>+SUM(DE26+DE25+DE22)</f>
        <v>2103556130.21</v>
      </c>
      <c r="DF21" s="26">
        <f>+SUM(DF26+DF25+DF22)</f>
        <v>2490849432.6000004</v>
      </c>
      <c r="DG21" s="26">
        <f>+SUM(DG26+DG25+DG22)</f>
        <v>2201954022.9200001</v>
      </c>
      <c r="DH21" s="26">
        <f t="shared" ref="DH21:DO21" si="117">+DH22+DH25+DH26</f>
        <v>2015200167.52</v>
      </c>
      <c r="DI21" s="26">
        <f t="shared" si="117"/>
        <v>2425252445.1800003</v>
      </c>
      <c r="DJ21" s="27">
        <f t="shared" si="117"/>
        <v>2346171098.8000002</v>
      </c>
      <c r="DK21" s="27">
        <f t="shared" si="117"/>
        <v>2460755759.71</v>
      </c>
      <c r="DL21" s="27">
        <f t="shared" si="117"/>
        <v>2911152278.5700002</v>
      </c>
      <c r="DM21" s="27">
        <f t="shared" si="117"/>
        <v>2684491690.1699996</v>
      </c>
      <c r="DN21" s="26">
        <f t="shared" si="23"/>
        <v>27446601440.889999</v>
      </c>
      <c r="DO21" s="47">
        <f t="shared" si="117"/>
        <v>1893673515.1599998</v>
      </c>
      <c r="DP21" s="47">
        <f t="shared" ref="DP21:DQ21" si="118">+DP22+DP25+DP26</f>
        <v>1896035405.1400001</v>
      </c>
      <c r="DQ21" s="47">
        <f t="shared" si="118"/>
        <v>2460358584.6199999</v>
      </c>
      <c r="DR21" s="47">
        <f t="shared" ref="DR21:DS21" si="119">+DR22+DR25+DR26</f>
        <v>2058643817.3600001</v>
      </c>
      <c r="DS21" s="47">
        <f t="shared" si="119"/>
        <v>2468039185.9899998</v>
      </c>
      <c r="DT21" s="47">
        <f t="shared" ref="DT21:DU21" si="120">+DT22+DT25+DT26</f>
        <v>2821243984.1399999</v>
      </c>
      <c r="DU21" s="47">
        <f t="shared" si="120"/>
        <v>2202819867.7800002</v>
      </c>
      <c r="DV21" s="47">
        <f t="shared" ref="DV21:DX21" si="121">+DV22+DV25+DV26</f>
        <v>2341271574.79</v>
      </c>
      <c r="DW21" s="47">
        <f t="shared" si="121"/>
        <v>2056139332.9199998</v>
      </c>
      <c r="DX21" s="47">
        <f t="shared" si="121"/>
        <v>2689737818.0100002</v>
      </c>
      <c r="DY21" s="47">
        <f t="shared" ref="DY21" si="122">+DY22+DY25+DY26</f>
        <v>3315360522.2999997</v>
      </c>
      <c r="DZ21" s="47">
        <f>+DZ22+DZ25+DZ26</f>
        <v>2714189534.1799998</v>
      </c>
      <c r="EA21" s="27">
        <f t="shared" si="116"/>
        <v>28917513142.389996</v>
      </c>
      <c r="EB21" s="47">
        <f>+EB22+EB25+EB26</f>
        <v>2274755648.1199999</v>
      </c>
      <c r="EC21" s="47">
        <f>+EC22+EC25+EC26</f>
        <v>2456356561.7199998</v>
      </c>
      <c r="ED21" s="47">
        <f>+ED22+ED25+ED26</f>
        <v>2497795591.6900001</v>
      </c>
      <c r="EE21" s="47">
        <f>+EE22+EE25+EE26</f>
        <v>2345413724.3000002</v>
      </c>
      <c r="EF21" s="47">
        <f>+EF22+EF25+EF26</f>
        <v>2768374541.1300001</v>
      </c>
      <c r="EG21" s="47">
        <f t="shared" ref="EG21:EM21" si="123">+EG22+EG25+EG26</f>
        <v>2500911353.5099998</v>
      </c>
      <c r="EH21" s="47">
        <f t="shared" si="123"/>
        <v>3493446935.6700001</v>
      </c>
      <c r="EI21" s="47">
        <f t="shared" si="123"/>
        <v>2799271778.8499999</v>
      </c>
      <c r="EJ21" s="47">
        <f t="shared" si="123"/>
        <v>2338190026.6700001</v>
      </c>
      <c r="EK21" s="47">
        <f t="shared" si="123"/>
        <v>3257522142.9299998</v>
      </c>
      <c r="EL21" s="47">
        <f t="shared" si="123"/>
        <v>3336746540.21</v>
      </c>
      <c r="EM21" s="47">
        <f t="shared" si="123"/>
        <v>2727263098.2599998</v>
      </c>
      <c r="EN21" s="47">
        <f>+EN22+EN25+EN26</f>
        <v>32796047943.060001</v>
      </c>
      <c r="EO21" s="47">
        <f t="shared" ref="EO21:EZ21" si="124">+EO22+EO25+EO26</f>
        <v>2612490569.5300002</v>
      </c>
      <c r="EP21" s="47">
        <f t="shared" si="124"/>
        <v>2332926579.7799997</v>
      </c>
      <c r="EQ21" s="47">
        <f t="shared" si="124"/>
        <v>2569394718.4899998</v>
      </c>
      <c r="ER21" s="47">
        <f t="shared" si="124"/>
        <v>2419362769.9099998</v>
      </c>
      <c r="ES21" s="47">
        <f t="shared" si="124"/>
        <v>2915779688.1399999</v>
      </c>
      <c r="ET21" s="47">
        <f t="shared" si="124"/>
        <v>2458315557.3700004</v>
      </c>
      <c r="EU21" s="47">
        <f t="shared" si="124"/>
        <v>2879402223.0700002</v>
      </c>
      <c r="EV21" s="47">
        <f t="shared" si="124"/>
        <v>2715213330.1499996</v>
      </c>
      <c r="EW21" s="47">
        <f t="shared" si="124"/>
        <v>2678002290.5300002</v>
      </c>
      <c r="EX21" s="47">
        <f t="shared" si="124"/>
        <v>3370591065.8599997</v>
      </c>
      <c r="EY21" s="47">
        <f t="shared" si="124"/>
        <v>3166693116.1129999</v>
      </c>
      <c r="EZ21" s="47">
        <f t="shared" si="124"/>
        <v>2818313039.8500004</v>
      </c>
      <c r="FA21" s="47">
        <f t="shared" si="27"/>
        <v>32936484948.792999</v>
      </c>
      <c r="FB21" s="47">
        <f t="shared" ref="FB21:FC21" si="125">+FB22+FB25+FB26</f>
        <v>2805422906.0599999</v>
      </c>
      <c r="FC21" s="47">
        <f t="shared" si="125"/>
        <v>2434975672.5099998</v>
      </c>
      <c r="FD21" s="47">
        <f t="shared" ref="FD21:FU21" si="126">+FD22+FD25+FD26</f>
        <v>2079555704.71</v>
      </c>
      <c r="FE21" s="47">
        <f t="shared" si="126"/>
        <v>1480007901.0899999</v>
      </c>
      <c r="FF21" s="47">
        <f t="shared" si="126"/>
        <v>1515727350.0599999</v>
      </c>
      <c r="FG21" s="47">
        <f t="shared" si="126"/>
        <v>2009355341.8999999</v>
      </c>
      <c r="FH21" s="47">
        <f t="shared" si="126"/>
        <v>2375208347.1900001</v>
      </c>
      <c r="FI21" s="47">
        <f t="shared" si="126"/>
        <v>2508369428.8299999</v>
      </c>
      <c r="FJ21" s="47">
        <f t="shared" si="126"/>
        <v>2733953945.9199996</v>
      </c>
      <c r="FK21" s="47">
        <f t="shared" si="126"/>
        <v>3104518512.8400002</v>
      </c>
      <c r="FL21" s="47">
        <f t="shared" si="126"/>
        <v>3261024471.4699998</v>
      </c>
      <c r="FM21" s="47">
        <f t="shared" si="126"/>
        <v>3516933324.98</v>
      </c>
      <c r="FN21" s="47">
        <f t="shared" si="28"/>
        <v>29825052907.559998</v>
      </c>
      <c r="FO21" s="47">
        <f t="shared" si="126"/>
        <v>2766536556.4000001</v>
      </c>
      <c r="FP21" s="47">
        <f t="shared" si="126"/>
        <v>2967928761.4899998</v>
      </c>
      <c r="FQ21" s="47">
        <f t="shared" si="126"/>
        <v>3276532832.5</v>
      </c>
      <c r="FR21" s="47">
        <f t="shared" si="126"/>
        <v>3066669100.5900002</v>
      </c>
      <c r="FS21" s="47">
        <f t="shared" si="126"/>
        <v>3180643696.1300001</v>
      </c>
      <c r="FT21" s="47">
        <f t="shared" si="126"/>
        <v>3582991940.1199999</v>
      </c>
      <c r="FU21" s="47">
        <f t="shared" si="126"/>
        <v>3474737031.5900002</v>
      </c>
      <c r="FV21" s="47">
        <f t="shared" ref="FV21:FW21" si="127">+FV22+FV25+FV26</f>
        <v>3645581613.0300002</v>
      </c>
      <c r="FW21" s="47">
        <f t="shared" si="127"/>
        <v>3626201259.4499998</v>
      </c>
      <c r="FX21" s="47">
        <f t="shared" ref="FX21:FY21" si="128">+FX22+FX25+FX26</f>
        <v>4483867993.46</v>
      </c>
      <c r="FY21" s="47">
        <f t="shared" si="128"/>
        <v>4910798294.8199997</v>
      </c>
      <c r="FZ21" s="47">
        <f t="shared" ref="FZ21" si="129">+FZ22+FZ25+FZ26</f>
        <v>4082759892.6199999</v>
      </c>
      <c r="GA21" s="68">
        <f t="shared" si="30"/>
        <v>43065248972.200005</v>
      </c>
      <c r="GB21" s="47">
        <f t="shared" ref="GB21" si="130">+GB22+GB25+GB26</f>
        <v>4064952918.8699999</v>
      </c>
      <c r="GC21" s="47">
        <f t="shared" ref="GC21:GH21" si="131">+GC22+GC25+GC26</f>
        <v>4048357025.0900002</v>
      </c>
      <c r="GD21" s="47">
        <f t="shared" si="131"/>
        <v>4298661328.5500002</v>
      </c>
      <c r="GE21" s="47">
        <f t="shared" si="131"/>
        <v>3709089050.4499998</v>
      </c>
      <c r="GF21" s="47">
        <f t="shared" si="131"/>
        <v>4277970854.0100002</v>
      </c>
      <c r="GG21" s="47">
        <f t="shared" si="131"/>
        <v>4709605902</v>
      </c>
      <c r="GH21" s="47">
        <f t="shared" si="131"/>
        <v>4094159337.7199998</v>
      </c>
      <c r="GI21" s="47">
        <f t="shared" ref="GI21:GJ21" si="132">+GI22+GI25+GI26</f>
        <v>4607758549.3599997</v>
      </c>
      <c r="GJ21" s="47">
        <f t="shared" si="132"/>
        <v>4519937523.0199995</v>
      </c>
      <c r="GK21" s="47">
        <f t="shared" ref="GK21:GL21" si="133">+GK22+GK25+GK26</f>
        <v>4244437570.9200001</v>
      </c>
      <c r="GL21" s="47">
        <f t="shared" si="133"/>
        <v>4413851974.9500008</v>
      </c>
      <c r="GM21" s="47">
        <f t="shared" ref="GM21:GO21" si="134">+GM22+GM25+GM26</f>
        <v>4073285794.8800001</v>
      </c>
      <c r="GN21" s="68">
        <v>51062067829.82</v>
      </c>
      <c r="GO21" s="47">
        <f t="shared" si="134"/>
        <v>3727027897.6600003</v>
      </c>
      <c r="GP21" s="47">
        <f>+GP22+GP25+GP26</f>
        <v>3539155045.8799996</v>
      </c>
      <c r="GQ21" s="47">
        <f>+GQ22+GQ25+GQ26</f>
        <v>3997441625.04</v>
      </c>
      <c r="GR21" s="76">
        <v>3751819756.6500001</v>
      </c>
      <c r="GS21" s="47">
        <f t="shared" ref="GS21:GW21" si="135">+GS22+GS25+GS26</f>
        <v>4243006567.1700001</v>
      </c>
      <c r="GT21" s="68">
        <f t="shared" si="135"/>
        <v>4031270475.9900002</v>
      </c>
      <c r="GU21" s="68">
        <f t="shared" si="135"/>
        <v>4474557833.8400002</v>
      </c>
      <c r="GV21" s="68">
        <f t="shared" si="135"/>
        <v>4299940321.1000004</v>
      </c>
      <c r="GW21" s="68">
        <f t="shared" si="135"/>
        <v>4699047376.1800003</v>
      </c>
      <c r="GX21" s="68">
        <f>+GX22+GX25+GX26</f>
        <v>5146892145.9299994</v>
      </c>
      <c r="GY21" s="68">
        <f>+GY22+GY25+GY26</f>
        <v>5056664855</v>
      </c>
      <c r="GZ21" s="68">
        <f>+GZ22+GZ25+GZ26</f>
        <v>4282898139.5700002</v>
      </c>
      <c r="HA21" s="68">
        <f>SUM(GO21:GZ21)</f>
        <v>51249722040.010002</v>
      </c>
      <c r="HB21" s="68">
        <f t="shared" ref="HB21:HG21" si="136">+HB22+HB25+HB26</f>
        <v>4401593543.6599998</v>
      </c>
      <c r="HC21" s="68">
        <f t="shared" si="136"/>
        <v>3845987123.04</v>
      </c>
      <c r="HD21" s="68">
        <f t="shared" si="136"/>
        <v>4223940027.02</v>
      </c>
      <c r="HE21" s="68">
        <f t="shared" si="136"/>
        <v>4723058897.2699995</v>
      </c>
      <c r="HF21" s="68">
        <f t="shared" si="136"/>
        <v>4874695100.2200003</v>
      </c>
      <c r="HG21" s="68">
        <f t="shared" si="136"/>
        <v>4777102621.6299992</v>
      </c>
      <c r="HH21" s="68">
        <f t="shared" ref="HH21:HM21" si="137">+HH22+HH25+HH26</f>
        <v>5559853949.0799999</v>
      </c>
      <c r="HI21" s="68">
        <f t="shared" si="137"/>
        <v>5152079252.8000002</v>
      </c>
      <c r="HJ21" s="68">
        <f t="shared" si="137"/>
        <v>5638769124.1999998</v>
      </c>
      <c r="HK21" s="68">
        <f t="shared" si="137"/>
        <v>5940339386.5999994</v>
      </c>
      <c r="HL21" s="68">
        <f>+HL22+HL25+HL26</f>
        <v>5550313172.8600006</v>
      </c>
      <c r="HM21" s="68">
        <f t="shared" si="137"/>
        <v>5843008968.8500004</v>
      </c>
      <c r="HN21" s="68">
        <f t="shared" ref="HN21:HN29" si="138">SUM(HB21:HM21)</f>
        <v>60530741167.229996</v>
      </c>
      <c r="HO21" s="68">
        <f>+HO22+HO25+HO26</f>
        <v>4640897954.5499992</v>
      </c>
      <c r="HP21" s="68">
        <f>+HP22+HP25+HP26</f>
        <v>4534578030.8500004</v>
      </c>
      <c r="HQ21" s="68">
        <f>+HQ22+HQ25+HQ26</f>
        <v>4978836417.4899998</v>
      </c>
      <c r="HR21" s="68">
        <f t="shared" ref="HR21:HW21" si="139">HR22+HR25+HR26</f>
        <v>5088791508.1300001</v>
      </c>
      <c r="HS21" s="68">
        <f t="shared" si="139"/>
        <v>4860807644.3000002</v>
      </c>
      <c r="HT21" s="68">
        <f t="shared" si="139"/>
        <v>4712416903.75</v>
      </c>
      <c r="HU21" s="68">
        <f t="shared" si="139"/>
        <v>5725729724.1800003</v>
      </c>
      <c r="HV21" s="68">
        <f t="shared" si="139"/>
        <v>5345045539.9700003</v>
      </c>
      <c r="HW21" s="68">
        <f t="shared" si="139"/>
        <v>5815253873.9099998</v>
      </c>
      <c r="HX21" s="68">
        <f>HX22+HX25+HX26</f>
        <v>5810364383.3800001</v>
      </c>
      <c r="HY21" s="68">
        <f>HY22+HY25+HY26</f>
        <v>5094572670.4000006</v>
      </c>
      <c r="HZ21" s="68">
        <f>HZ22+HZ25+HZ26</f>
        <v>5500901531.25</v>
      </c>
      <c r="IA21" s="68">
        <f>SUM(HO21:HZ21)</f>
        <v>62108196182.160004</v>
      </c>
      <c r="IB21" s="68">
        <f>IB22+IB25+IB26</f>
        <v>4968069184.5500002</v>
      </c>
      <c r="IC21" s="68">
        <f t="shared" ref="IC21:IE21" si="140">IC22+IC25+IC26</f>
        <v>4117105636.6400003</v>
      </c>
      <c r="ID21" s="68">
        <f t="shared" si="140"/>
        <v>5422458113.21</v>
      </c>
      <c r="IE21" s="68">
        <f t="shared" si="140"/>
        <v>5093831896.5899992</v>
      </c>
      <c r="IF21" s="68">
        <f t="shared" ref="IF21:IG21" si="141">IF22+IF25+IF26</f>
        <v>4764587430.1199999</v>
      </c>
      <c r="IG21" s="68">
        <f t="shared" si="141"/>
        <v>5757092223.46</v>
      </c>
      <c r="IH21" s="68">
        <f t="shared" ref="IH21:II21" si="142">IH22+IH25+IH26</f>
        <v>5422708816.2399998</v>
      </c>
      <c r="II21" s="68">
        <f t="shared" si="142"/>
        <v>5333229387.5300007</v>
      </c>
      <c r="IJ21" s="68">
        <f>SUM(IB21:II21)</f>
        <v>40879082688.339996</v>
      </c>
    </row>
    <row r="22" spans="1:244" s="11" customFormat="1" ht="18.75" x14ac:dyDescent="0.3">
      <c r="A22" s="4" t="s">
        <v>29</v>
      </c>
      <c r="B22" s="20">
        <v>1757841802.04</v>
      </c>
      <c r="C22" s="21">
        <v>1593041865.05</v>
      </c>
      <c r="D22" s="21">
        <v>1601447095.3299999</v>
      </c>
      <c r="E22" s="21">
        <v>1774925386.8299999</v>
      </c>
      <c r="F22" s="21">
        <v>1874175457.22</v>
      </c>
      <c r="G22" s="21">
        <v>1819300533.04</v>
      </c>
      <c r="H22" s="21">
        <v>1813786318.2</v>
      </c>
      <c r="I22" s="21">
        <v>1637139518.28</v>
      </c>
      <c r="J22" s="21">
        <v>1578057233.9200001</v>
      </c>
      <c r="K22" s="21">
        <v>1856865691.1900001</v>
      </c>
      <c r="L22" s="21">
        <v>1734233101.96</v>
      </c>
      <c r="M22" s="21">
        <v>2092285225.8499999</v>
      </c>
      <c r="N22" s="26">
        <f t="shared" si="15"/>
        <v>21133099228.909996</v>
      </c>
      <c r="O22" s="21">
        <v>1341823353.0699999</v>
      </c>
      <c r="P22" s="21">
        <v>1364255601.8800001</v>
      </c>
      <c r="Q22" s="21">
        <v>1604124802.52</v>
      </c>
      <c r="R22" s="21">
        <v>1457463841.22</v>
      </c>
      <c r="S22" s="21">
        <v>1436639612.4300001</v>
      </c>
      <c r="T22" s="21">
        <v>1527753533.6800001</v>
      </c>
      <c r="U22" s="21">
        <v>1470877482.46</v>
      </c>
      <c r="V22" s="21">
        <v>1455716479.1900001</v>
      </c>
      <c r="W22" s="21">
        <v>1353713879.8299999</v>
      </c>
      <c r="X22" s="21">
        <v>1685616376.05</v>
      </c>
      <c r="Y22" s="21">
        <v>1704295764.77</v>
      </c>
      <c r="Z22" s="21">
        <v>1853495058</v>
      </c>
      <c r="AA22" s="26">
        <f t="shared" ref="AA22:AA29" si="143">SUM(O22:Z22)</f>
        <v>18255775785.099998</v>
      </c>
      <c r="AB22" s="21">
        <v>1115884823.74</v>
      </c>
      <c r="AC22" s="21">
        <v>1199873554.49</v>
      </c>
      <c r="AD22" s="21">
        <v>1732642347.3499999</v>
      </c>
      <c r="AE22" s="21">
        <v>1494454975.1500001</v>
      </c>
      <c r="AF22" s="21">
        <v>1538647776.5799999</v>
      </c>
      <c r="AG22" s="21">
        <v>1762590415.3800001</v>
      </c>
      <c r="AH22" s="21">
        <v>1725864859.29</v>
      </c>
      <c r="AI22" s="21">
        <v>1740232298.46</v>
      </c>
      <c r="AJ22" s="21">
        <v>1692347436.2</v>
      </c>
      <c r="AK22" s="21">
        <v>1858200188.4000001</v>
      </c>
      <c r="AL22" s="21">
        <v>1822505021.79</v>
      </c>
      <c r="AM22" s="21">
        <v>1805004697.53</v>
      </c>
      <c r="AN22" s="26">
        <v>19488248394.359997</v>
      </c>
      <c r="AO22" s="21">
        <v>1246129284.52</v>
      </c>
      <c r="AP22" s="21">
        <v>1370312966.26</v>
      </c>
      <c r="AQ22" s="21">
        <v>1661876376.75</v>
      </c>
      <c r="AR22" s="21">
        <v>1445777686.9100001</v>
      </c>
      <c r="AS22" s="21">
        <v>1622750284.8900001</v>
      </c>
      <c r="AT22" s="21">
        <v>1659297095.6400001</v>
      </c>
      <c r="AU22" s="21">
        <v>1634336982.48</v>
      </c>
      <c r="AV22" s="21">
        <v>1574339353.8199999</v>
      </c>
      <c r="AW22" s="21">
        <v>1483119378.27</v>
      </c>
      <c r="AX22" s="21">
        <v>1680981875.4300001</v>
      </c>
      <c r="AY22" s="21">
        <v>1754382118.1900001</v>
      </c>
      <c r="AZ22" s="21">
        <v>1646836574.02</v>
      </c>
      <c r="BA22" s="26">
        <f t="shared" si="17"/>
        <v>18780139977.18</v>
      </c>
      <c r="BB22" s="21">
        <v>1237332601.6900001</v>
      </c>
      <c r="BC22" s="21">
        <v>1328926520.29</v>
      </c>
      <c r="BD22" s="21">
        <v>1539871029.3699999</v>
      </c>
      <c r="BE22" s="21">
        <v>1343054334.1400001</v>
      </c>
      <c r="BF22" s="21">
        <v>1608519885.46</v>
      </c>
      <c r="BG22" s="21">
        <v>1552712244.24</v>
      </c>
      <c r="BH22" s="21">
        <v>1856831802.29</v>
      </c>
      <c r="BI22" s="21">
        <v>1581943395.9000001</v>
      </c>
      <c r="BJ22" s="21">
        <v>1429333890.7</v>
      </c>
      <c r="BK22" s="21">
        <v>1715109407.0800002</v>
      </c>
      <c r="BL22" s="21">
        <v>1993817603</v>
      </c>
      <c r="BM22" s="21">
        <v>1702402129.3299999</v>
      </c>
      <c r="BN22" s="26">
        <f t="shared" si="18"/>
        <v>18889854843.489998</v>
      </c>
      <c r="BO22" s="21">
        <v>1447530577.6800001</v>
      </c>
      <c r="BP22" s="21">
        <v>1424416594.8900001</v>
      </c>
      <c r="BQ22" s="21">
        <v>1531171367.48</v>
      </c>
      <c r="BR22" s="21">
        <v>1349999947.3499999</v>
      </c>
      <c r="BS22" s="21">
        <v>1610663224.6799998</v>
      </c>
      <c r="BT22" s="21">
        <v>1477368418.52</v>
      </c>
      <c r="BU22" s="21">
        <v>1691248927.6699998</v>
      </c>
      <c r="BV22" s="21">
        <v>1527024125.52</v>
      </c>
      <c r="BW22" s="21">
        <v>1461814941.6400001</v>
      </c>
      <c r="BX22" s="21">
        <v>1885312864.9400001</v>
      </c>
      <c r="BY22" s="21">
        <v>1834732070.8</v>
      </c>
      <c r="BZ22" s="21">
        <v>1801522277.8099999</v>
      </c>
      <c r="CA22" s="26">
        <f t="shared" si="19"/>
        <v>19042805338.980003</v>
      </c>
      <c r="CB22" s="21">
        <v>1429651304.0700002</v>
      </c>
      <c r="CC22" s="21">
        <v>1308149087.49</v>
      </c>
      <c r="CD22" s="21">
        <v>1651925686.5899999</v>
      </c>
      <c r="CE22" s="21">
        <v>1704587995.99</v>
      </c>
      <c r="CF22" s="21">
        <v>1848228362.9000001</v>
      </c>
      <c r="CG22" s="21">
        <v>1676638321.5999999</v>
      </c>
      <c r="CH22" s="21">
        <v>1899546197.52</v>
      </c>
      <c r="CI22" s="21">
        <v>1773727937.25</v>
      </c>
      <c r="CJ22" s="21">
        <v>1731718826.3299999</v>
      </c>
      <c r="CK22" s="21">
        <v>2165976337.52</v>
      </c>
      <c r="CL22" s="21">
        <v>2100662561.01</v>
      </c>
      <c r="CM22" s="21">
        <v>2103117685.24</v>
      </c>
      <c r="CN22" s="26">
        <f t="shared" si="20"/>
        <v>21393930303.510002</v>
      </c>
      <c r="CO22" s="21">
        <v>1661733175.26</v>
      </c>
      <c r="CP22" s="21">
        <v>1589418659.76</v>
      </c>
      <c r="CQ22" s="21">
        <v>1922988860.95</v>
      </c>
      <c r="CR22" s="21">
        <v>1745616212.6300001</v>
      </c>
      <c r="CS22" s="21">
        <v>2143643636.0699999</v>
      </c>
      <c r="CT22" s="21">
        <v>2028376280.75</v>
      </c>
      <c r="CU22" s="21">
        <v>2403835289.2799997</v>
      </c>
      <c r="CV22" s="21">
        <v>1990616112.5</v>
      </c>
      <c r="CW22" s="21">
        <v>2274263809.3399997</v>
      </c>
      <c r="CX22" s="21">
        <v>2334708487.48</v>
      </c>
      <c r="CY22" s="21">
        <v>2555204127.1999998</v>
      </c>
      <c r="CZ22" s="21">
        <v>2562908347.8000002</v>
      </c>
      <c r="DA22" s="26">
        <f t="shared" si="21"/>
        <v>25213312999.02</v>
      </c>
      <c r="DB22" s="21">
        <v>1746636015.0599999</v>
      </c>
      <c r="DC22" s="21">
        <f t="shared" ref="DC22:DI22" si="144">+DC23+DC24</f>
        <v>1837029351.3099999</v>
      </c>
      <c r="DD22" s="21">
        <f t="shared" si="144"/>
        <v>2179583510.4400001</v>
      </c>
      <c r="DE22" s="21">
        <f t="shared" si="144"/>
        <v>2090645863.21</v>
      </c>
      <c r="DF22" s="21">
        <f t="shared" si="144"/>
        <v>2477793414.5700002</v>
      </c>
      <c r="DG22" s="21">
        <f t="shared" si="144"/>
        <v>2185507261.29</v>
      </c>
      <c r="DH22" s="21">
        <f t="shared" si="144"/>
        <v>2002124509.95</v>
      </c>
      <c r="DI22" s="21">
        <f t="shared" si="144"/>
        <v>2412325928.5700002</v>
      </c>
      <c r="DJ22" s="17">
        <f t="shared" ref="DJ22:DK22" si="145">+DJ23+DJ24</f>
        <v>2333875308.2800002</v>
      </c>
      <c r="DK22" s="17">
        <f t="shared" si="145"/>
        <v>2450643682.1999998</v>
      </c>
      <c r="DL22" s="17">
        <f>+DL23+DL24</f>
        <v>2899915897.77</v>
      </c>
      <c r="DM22" s="17">
        <f>+DM23+DM24</f>
        <v>2670560001.4299998</v>
      </c>
      <c r="DN22" s="26">
        <f t="shared" si="23"/>
        <v>27286640744.080002</v>
      </c>
      <c r="DO22" s="48">
        <f t="shared" ref="DO22:DU22" si="146">+DO23+DO24</f>
        <v>1875088495.8299999</v>
      </c>
      <c r="DP22" s="48">
        <f t="shared" si="146"/>
        <v>1882851023.8800001</v>
      </c>
      <c r="DQ22" s="48">
        <f t="shared" si="146"/>
        <v>2440101414.4099998</v>
      </c>
      <c r="DR22" s="48">
        <v>2039731074.71</v>
      </c>
      <c r="DS22" s="48">
        <f t="shared" si="146"/>
        <v>2452273131.9299998</v>
      </c>
      <c r="DT22" s="48">
        <f t="shared" si="146"/>
        <v>2803798701.8199997</v>
      </c>
      <c r="DU22" s="48">
        <f t="shared" si="146"/>
        <v>2185181881.21</v>
      </c>
      <c r="DV22" s="48">
        <f t="shared" ref="DV22:DX22" si="147">+DV23+DV24</f>
        <v>2323512706.5599999</v>
      </c>
      <c r="DW22" s="48">
        <f t="shared" si="147"/>
        <v>2043268461.3099999</v>
      </c>
      <c r="DX22" s="48">
        <f t="shared" si="147"/>
        <v>2669358307.3600001</v>
      </c>
      <c r="DY22" s="48">
        <f>+DY23+DY24</f>
        <v>3295946365.8499999</v>
      </c>
      <c r="DZ22" s="48">
        <f>+DZ23+DZ24</f>
        <v>2691661776.73</v>
      </c>
      <c r="EA22" s="27">
        <f t="shared" si="116"/>
        <v>28702773341.600002</v>
      </c>
      <c r="EB22" s="48">
        <f>+EB23+EB24</f>
        <v>2254247636.46</v>
      </c>
      <c r="EC22" s="48">
        <f>+EC23+EC24</f>
        <v>2124664275.75</v>
      </c>
      <c r="ED22" s="48">
        <f>+ED23+ED24</f>
        <v>2476124382.8499999</v>
      </c>
      <c r="EE22" s="48">
        <f t="shared" ref="EE22:EN22" si="148">+EE23+EE24</f>
        <v>2288104573.0100002</v>
      </c>
      <c r="EF22" s="48">
        <f t="shared" si="148"/>
        <v>2747526226.6199999</v>
      </c>
      <c r="EG22" s="48">
        <f t="shared" si="148"/>
        <v>2480925968.8699999</v>
      </c>
      <c r="EH22" s="48">
        <f t="shared" si="148"/>
        <v>3430190320.0300002</v>
      </c>
      <c r="EI22" s="48">
        <f t="shared" si="148"/>
        <v>2775149384.98</v>
      </c>
      <c r="EJ22" s="48">
        <f t="shared" si="148"/>
        <v>2314586290.6500001</v>
      </c>
      <c r="EK22" s="48">
        <f t="shared" si="148"/>
        <v>3194072300.3699999</v>
      </c>
      <c r="EL22" s="48">
        <f t="shared" si="148"/>
        <v>3312967814.6999998</v>
      </c>
      <c r="EM22" s="48">
        <f t="shared" si="148"/>
        <v>2697332431.7399998</v>
      </c>
      <c r="EN22" s="47">
        <f t="shared" si="148"/>
        <v>32095891606.030003</v>
      </c>
      <c r="EO22" s="48">
        <f t="shared" ref="EO22:EZ22" si="149">+EO23+EO24</f>
        <v>2539692431.1500001</v>
      </c>
      <c r="EP22" s="48">
        <f t="shared" si="149"/>
        <v>2312221543.29</v>
      </c>
      <c r="EQ22" s="48">
        <f t="shared" si="149"/>
        <v>2538277690.1399999</v>
      </c>
      <c r="ER22" s="48">
        <f t="shared" si="149"/>
        <v>2353517913.4299998</v>
      </c>
      <c r="ES22" s="48">
        <f t="shared" si="149"/>
        <v>2882700459.9899998</v>
      </c>
      <c r="ET22" s="48">
        <f t="shared" si="149"/>
        <v>2435208821.2800002</v>
      </c>
      <c r="EU22" s="48">
        <f t="shared" si="149"/>
        <v>2820854040.8000002</v>
      </c>
      <c r="EV22" s="48">
        <f t="shared" si="149"/>
        <v>2686095688.7199998</v>
      </c>
      <c r="EW22" s="48">
        <f t="shared" si="149"/>
        <v>2656670390.3200002</v>
      </c>
      <c r="EX22" s="48">
        <f t="shared" si="149"/>
        <v>3328322735.6399999</v>
      </c>
      <c r="EY22" s="48">
        <f t="shared" si="149"/>
        <v>3141976176.5799999</v>
      </c>
      <c r="EZ22" s="48">
        <f t="shared" si="149"/>
        <v>2782865122.7800002</v>
      </c>
      <c r="FA22" s="47">
        <f t="shared" si="27"/>
        <v>32478403014.120003</v>
      </c>
      <c r="FB22" s="48">
        <f t="shared" ref="FB22:FC22" si="150">+FB23+FB24</f>
        <v>2737091602.5</v>
      </c>
      <c r="FC22" s="48">
        <f t="shared" si="150"/>
        <v>2402446000.3499999</v>
      </c>
      <c r="FD22" s="48">
        <f t="shared" ref="FD22:FU22" si="151">+FD23+FD24</f>
        <v>2061220696.0599999</v>
      </c>
      <c r="FE22" s="48">
        <f t="shared" si="151"/>
        <v>1477189338.79</v>
      </c>
      <c r="FF22" s="48">
        <f t="shared" si="151"/>
        <v>1493112481.53</v>
      </c>
      <c r="FG22" s="48">
        <f t="shared" si="151"/>
        <v>2007470157.3399999</v>
      </c>
      <c r="FH22" s="48">
        <f t="shared" si="151"/>
        <v>2372891328.3299999</v>
      </c>
      <c r="FI22" s="48">
        <f t="shared" si="151"/>
        <v>2507580528.3800001</v>
      </c>
      <c r="FJ22" s="48">
        <f t="shared" si="151"/>
        <v>2732799973.7199998</v>
      </c>
      <c r="FK22" s="48">
        <f t="shared" si="151"/>
        <v>3088808536.3000002</v>
      </c>
      <c r="FL22" s="48">
        <f t="shared" si="151"/>
        <v>3257621105.8099999</v>
      </c>
      <c r="FM22" s="48">
        <f t="shared" si="151"/>
        <v>3491895694.9499998</v>
      </c>
      <c r="FN22" s="47">
        <f t="shared" si="28"/>
        <v>29630127444.060005</v>
      </c>
      <c r="FO22" s="48">
        <f t="shared" si="151"/>
        <v>2709550249.5</v>
      </c>
      <c r="FP22" s="48">
        <f t="shared" si="151"/>
        <v>2948209860.02</v>
      </c>
      <c r="FQ22" s="48">
        <f t="shared" si="151"/>
        <v>3253787185.1700001</v>
      </c>
      <c r="FR22" s="48">
        <f t="shared" si="151"/>
        <v>3010043092.6300001</v>
      </c>
      <c r="FS22" s="48">
        <f t="shared" si="151"/>
        <v>3155739735.75</v>
      </c>
      <c r="FT22" s="48">
        <f t="shared" si="151"/>
        <v>3561024307.9899998</v>
      </c>
      <c r="FU22" s="48">
        <f t="shared" si="151"/>
        <v>3412201548.27</v>
      </c>
      <c r="FV22" s="48">
        <f t="shared" ref="FV22:FW22" si="152">+FV23+FV24</f>
        <v>3620103193.0100002</v>
      </c>
      <c r="FW22" s="48">
        <f t="shared" si="152"/>
        <v>3602725349.5799999</v>
      </c>
      <c r="FX22" s="48">
        <f t="shared" ref="FX22:FY22" si="153">+FX23+FX24</f>
        <v>4415367604.5699997</v>
      </c>
      <c r="FY22" s="48">
        <f t="shared" si="153"/>
        <v>4890980929.8299999</v>
      </c>
      <c r="FZ22" s="48">
        <f t="shared" ref="FZ22" si="154">+FZ23+FZ24</f>
        <v>4057860237.9499998</v>
      </c>
      <c r="GA22" s="68">
        <f t="shared" si="30"/>
        <v>42637593294.269997</v>
      </c>
      <c r="GB22" s="48">
        <f t="shared" ref="GB22:GC22" si="155">+GB23+GB24</f>
        <v>4000221118.7399998</v>
      </c>
      <c r="GC22" s="48">
        <f t="shared" si="155"/>
        <v>4024559126.7800002</v>
      </c>
      <c r="GD22" s="48">
        <f t="shared" ref="GD22:GE22" si="156">+GD23+GD24</f>
        <v>4272224107.5100002</v>
      </c>
      <c r="GE22" s="48">
        <f t="shared" si="156"/>
        <v>3651175367.9699998</v>
      </c>
      <c r="GF22" s="48">
        <f t="shared" ref="GF22:GG22" si="157">+GF23+GF24</f>
        <v>4256038392.4000001</v>
      </c>
      <c r="GG22" s="48">
        <f t="shared" si="157"/>
        <v>4688144745.2399998</v>
      </c>
      <c r="GH22" s="48">
        <f t="shared" ref="GH22:GI22" si="158">+GH23+GH24</f>
        <v>3995781730.9699998</v>
      </c>
      <c r="GI22" s="48">
        <f t="shared" si="158"/>
        <v>4583836560.4499998</v>
      </c>
      <c r="GJ22" s="48">
        <f t="shared" ref="GJ22:GL22" si="159">+GJ23+GJ24</f>
        <v>4503602225.6599998</v>
      </c>
      <c r="GK22" s="48">
        <f t="shared" si="159"/>
        <v>4214908578.0799999</v>
      </c>
      <c r="GL22" s="48">
        <f t="shared" si="159"/>
        <v>4395056636.8500004</v>
      </c>
      <c r="GM22" s="48">
        <f t="shared" ref="GM22:GO22" si="160">+GM23+GM24</f>
        <v>4049335493.1500001</v>
      </c>
      <c r="GN22" s="68">
        <v>50634884083.800003</v>
      </c>
      <c r="GO22" s="48">
        <f t="shared" si="160"/>
        <v>3654164048.3600001</v>
      </c>
      <c r="GP22" s="48">
        <f>+GP23+GP24</f>
        <v>3516352599.6999998</v>
      </c>
      <c r="GQ22" s="48">
        <f>+GQ23+GQ24</f>
        <v>3973174038.3800001</v>
      </c>
      <c r="GR22" s="80">
        <v>3658665606.0700002</v>
      </c>
      <c r="GS22" s="48">
        <f t="shared" ref="GS22:GW22" si="161">+GS23+GS24</f>
        <v>4217462973.8800001</v>
      </c>
      <c r="GT22" s="85">
        <f t="shared" si="161"/>
        <v>4011367444.1100001</v>
      </c>
      <c r="GU22" s="85">
        <f t="shared" si="161"/>
        <v>4393715553.8100004</v>
      </c>
      <c r="GV22" s="85">
        <f t="shared" si="161"/>
        <v>4278610818.9000001</v>
      </c>
      <c r="GW22" s="85">
        <f t="shared" si="161"/>
        <v>4688257010.7700005</v>
      </c>
      <c r="GX22" s="85">
        <f>+GX23+GX24</f>
        <v>5068231010.7799997</v>
      </c>
      <c r="GY22" s="85">
        <f>+GY23+GY24</f>
        <v>5054337163.6999998</v>
      </c>
      <c r="GZ22" s="85">
        <f>+GZ23+GZ24</f>
        <v>4280633492.1700001</v>
      </c>
      <c r="HA22" s="68">
        <f t="shared" ref="HA22:HA29" si="162">SUM(GO22:GZ22)</f>
        <v>50794971760.629997</v>
      </c>
      <c r="HB22" s="85">
        <f t="shared" ref="HB22:HG22" si="163">+HB23+HB24</f>
        <v>4321215979.8199997</v>
      </c>
      <c r="HC22" s="85">
        <f t="shared" si="163"/>
        <v>3844377033.4000001</v>
      </c>
      <c r="HD22" s="85">
        <f t="shared" si="163"/>
        <v>4222931555.9899998</v>
      </c>
      <c r="HE22" s="85">
        <f t="shared" si="163"/>
        <v>4632622249.7399998</v>
      </c>
      <c r="HF22" s="85">
        <f t="shared" si="163"/>
        <v>4872341374.2600002</v>
      </c>
      <c r="HG22" s="85">
        <f t="shared" si="163"/>
        <v>4775215946.9799995</v>
      </c>
      <c r="HH22" s="85">
        <f t="shared" ref="HH22:HL22" si="164">+HH23+HH24</f>
        <v>5439559050.1800003</v>
      </c>
      <c r="HI22" s="85">
        <f t="shared" si="164"/>
        <v>5150459524.1599998</v>
      </c>
      <c r="HJ22" s="85">
        <f t="shared" si="164"/>
        <v>5637540418.1999998</v>
      </c>
      <c r="HK22" s="85">
        <f t="shared" si="164"/>
        <v>5823759356.5299997</v>
      </c>
      <c r="HL22" s="85">
        <f t="shared" si="164"/>
        <v>5548758996.5500002</v>
      </c>
      <c r="HM22" s="85">
        <f>+HM23+HM24</f>
        <v>5841675512.5900002</v>
      </c>
      <c r="HN22" s="68">
        <f t="shared" si="138"/>
        <v>60110456998.399994</v>
      </c>
      <c r="HO22" s="85">
        <f>+HO23+HO24</f>
        <v>4516097010.2299995</v>
      </c>
      <c r="HP22" s="85">
        <f>+HP23+HP24</f>
        <v>4532064010.3299999</v>
      </c>
      <c r="HQ22" s="85">
        <f>+HQ23+HQ24</f>
        <v>4975778990.46</v>
      </c>
      <c r="HR22" s="85">
        <f t="shared" ref="HR22:HW22" si="165">SUM(HR23:HR25)</f>
        <v>4976786904.4099998</v>
      </c>
      <c r="HS22" s="85">
        <f t="shared" si="165"/>
        <v>4858087252.3400002</v>
      </c>
      <c r="HT22" s="85">
        <f t="shared" si="165"/>
        <v>4709888839.5699997</v>
      </c>
      <c r="HU22" s="85">
        <f t="shared" si="165"/>
        <v>5597945833.1300001</v>
      </c>
      <c r="HV22" s="85">
        <f t="shared" si="165"/>
        <v>5342336824.6300001</v>
      </c>
      <c r="HW22" s="85">
        <f t="shared" si="165"/>
        <v>5812179351.8199997</v>
      </c>
      <c r="HX22" s="85">
        <f>SUM(HX23:HX25)</f>
        <v>5702951788.0100002</v>
      </c>
      <c r="HY22" s="85">
        <f>SUM(HY23:HY25)</f>
        <v>5091539913.1800003</v>
      </c>
      <c r="HZ22" s="85">
        <f>SUM(HZ23:HZ25)</f>
        <v>5498058752.8500004</v>
      </c>
      <c r="IA22" s="68">
        <f t="shared" ref="IA22:IA29" si="166">SUM(HO22:HZ22)</f>
        <v>61613715470.959999</v>
      </c>
      <c r="IB22" s="85">
        <f>SUM(IB23:IB25)</f>
        <v>4837370456.5200005</v>
      </c>
      <c r="IC22" s="85">
        <f t="shared" ref="IC22:ID22" si="167">SUM(IC23:IC25)</f>
        <v>4112918462.0500002</v>
      </c>
      <c r="ID22" s="85">
        <f t="shared" si="167"/>
        <v>5414778457.5600004</v>
      </c>
      <c r="IE22" s="85">
        <f>SUM(IE23:IE25)</f>
        <v>4945914107.6899996</v>
      </c>
      <c r="IF22" s="85">
        <f>SUM(IF23:IF25)</f>
        <v>4758262240.6400003</v>
      </c>
      <c r="IG22" s="85">
        <f>SUM(IG23:IG25)</f>
        <v>5751792325.1499996</v>
      </c>
      <c r="IH22" s="85">
        <f>SUM(IH23:IH25)</f>
        <v>5275068760.8400002</v>
      </c>
      <c r="II22" s="85">
        <f>SUM(II23:II25)</f>
        <v>5327240997.6800003</v>
      </c>
      <c r="IJ22" s="68">
        <f>SUM(IB22:II22)</f>
        <v>40423345808.129997</v>
      </c>
    </row>
    <row r="23" spans="1:244" s="11" customFormat="1" ht="18.75" x14ac:dyDescent="0.3">
      <c r="A23" s="9" t="s">
        <v>30</v>
      </c>
      <c r="B23" s="18">
        <v>1757841802.04</v>
      </c>
      <c r="C23" s="19">
        <v>1593041865.05</v>
      </c>
      <c r="D23" s="19">
        <v>1601447095.3299999</v>
      </c>
      <c r="E23" s="19">
        <v>1774925386.8299999</v>
      </c>
      <c r="F23" s="19">
        <v>1874175457.22</v>
      </c>
      <c r="G23" s="19">
        <v>1819300533.04</v>
      </c>
      <c r="H23" s="19">
        <v>1813786318.2</v>
      </c>
      <c r="I23" s="19">
        <v>1637139518.28</v>
      </c>
      <c r="J23" s="19">
        <v>1578057233.9200001</v>
      </c>
      <c r="K23" s="19">
        <v>1856865691.1900001</v>
      </c>
      <c r="L23" s="19">
        <v>1734233101.96</v>
      </c>
      <c r="M23" s="19">
        <v>2092285225.8499999</v>
      </c>
      <c r="N23" s="26">
        <f t="shared" si="15"/>
        <v>21133099228.909996</v>
      </c>
      <c r="O23" s="19">
        <v>1341823353.0699999</v>
      </c>
      <c r="P23" s="19">
        <v>1364255601.8800001</v>
      </c>
      <c r="Q23" s="19">
        <v>1604124802.52</v>
      </c>
      <c r="R23" s="19">
        <v>1457463841.22</v>
      </c>
      <c r="S23" s="19">
        <v>1436639612.4300001</v>
      </c>
      <c r="T23" s="19">
        <v>1527753533.6800001</v>
      </c>
      <c r="U23" s="19">
        <v>1470877482.46</v>
      </c>
      <c r="V23" s="19">
        <v>1455716479.1900001</v>
      </c>
      <c r="W23" s="19">
        <v>1353713879.8299999</v>
      </c>
      <c r="X23" s="19">
        <v>1685616376.05</v>
      </c>
      <c r="Y23" s="19">
        <v>1704295764.77</v>
      </c>
      <c r="Z23" s="19">
        <v>1853469315.5899999</v>
      </c>
      <c r="AA23" s="26">
        <f t="shared" si="143"/>
        <v>18255750042.689999</v>
      </c>
      <c r="AB23" s="19">
        <v>1115884823.74</v>
      </c>
      <c r="AC23" s="19">
        <v>1199873554.49</v>
      </c>
      <c r="AD23" s="19">
        <v>1732642347.3499999</v>
      </c>
      <c r="AE23" s="19">
        <v>1494454975.1500001</v>
      </c>
      <c r="AF23" s="19">
        <v>1538647776.5799999</v>
      </c>
      <c r="AG23" s="19">
        <v>1762590415.3800001</v>
      </c>
      <c r="AH23" s="19">
        <v>1725864859.29</v>
      </c>
      <c r="AI23" s="19">
        <v>1740232298.46</v>
      </c>
      <c r="AJ23" s="19">
        <v>1692347436.2</v>
      </c>
      <c r="AK23" s="19">
        <v>1858200188.4000001</v>
      </c>
      <c r="AL23" s="19">
        <v>1822505021.79</v>
      </c>
      <c r="AM23" s="19">
        <v>1805004697.53</v>
      </c>
      <c r="AN23" s="26">
        <v>19488248394.359997</v>
      </c>
      <c r="AO23" s="19">
        <v>1246129284.52</v>
      </c>
      <c r="AP23" s="19">
        <v>1370312966.26</v>
      </c>
      <c r="AQ23" s="19">
        <v>1661876376.75</v>
      </c>
      <c r="AR23" s="19">
        <v>1445777686.9100001</v>
      </c>
      <c r="AS23" s="19">
        <v>1622750284.8900001</v>
      </c>
      <c r="AT23" s="19">
        <v>1659297095.6400001</v>
      </c>
      <c r="AU23" s="19">
        <v>1634336982.48</v>
      </c>
      <c r="AV23" s="19">
        <v>1574339353.8199999</v>
      </c>
      <c r="AW23" s="19">
        <v>1483119378.27</v>
      </c>
      <c r="AX23" s="19">
        <v>1680981875.4300001</v>
      </c>
      <c r="AY23" s="19">
        <v>1754382118.1900001</v>
      </c>
      <c r="AZ23" s="19">
        <v>1646836574.02</v>
      </c>
      <c r="BA23" s="26">
        <f t="shared" si="17"/>
        <v>18780139977.18</v>
      </c>
      <c r="BB23" s="19">
        <v>1237332601.6900001</v>
      </c>
      <c r="BC23" s="19">
        <v>1328926520.29</v>
      </c>
      <c r="BD23" s="19">
        <v>1539871029.3699999</v>
      </c>
      <c r="BE23" s="19">
        <v>1343054334.1400001</v>
      </c>
      <c r="BF23" s="19">
        <v>1608519885.46</v>
      </c>
      <c r="BG23" s="19">
        <v>1552712244.24</v>
      </c>
      <c r="BH23" s="19">
        <v>1856831802.29</v>
      </c>
      <c r="BI23" s="19">
        <v>1581943395.9000001</v>
      </c>
      <c r="BJ23" s="19">
        <v>1429333890.7</v>
      </c>
      <c r="BK23" s="19">
        <v>1660007324.6800001</v>
      </c>
      <c r="BL23" s="19">
        <v>1933738565.5999999</v>
      </c>
      <c r="BM23" s="19">
        <v>1702402129.3299999</v>
      </c>
      <c r="BN23" s="26">
        <f t="shared" si="18"/>
        <v>18774673723.690002</v>
      </c>
      <c r="BO23" s="19">
        <v>1435354217.6800001</v>
      </c>
      <c r="BP23" s="19">
        <v>1424416594.8900001</v>
      </c>
      <c r="BQ23" s="19">
        <v>1531171367.48</v>
      </c>
      <c r="BR23" s="19">
        <v>1349999947.3499999</v>
      </c>
      <c r="BS23" s="19">
        <v>1593974937.1199999</v>
      </c>
      <c r="BT23" s="19">
        <v>1476650218.52</v>
      </c>
      <c r="BU23" s="19">
        <v>1595306650.3599999</v>
      </c>
      <c r="BV23" s="19">
        <v>1526251036.9000001</v>
      </c>
      <c r="BW23" s="19">
        <v>1461814941.6400001</v>
      </c>
      <c r="BX23" s="19">
        <v>1885312864.9400001</v>
      </c>
      <c r="BY23" s="19">
        <v>1834732070.8</v>
      </c>
      <c r="BZ23" s="19">
        <v>1801522277.8099999</v>
      </c>
      <c r="CA23" s="26">
        <f t="shared" si="19"/>
        <v>18916507125.489998</v>
      </c>
      <c r="CB23" s="19">
        <v>1420057985.6600001</v>
      </c>
      <c r="CC23" s="19">
        <v>1308149087.49</v>
      </c>
      <c r="CD23" s="19">
        <v>1651925686.5899999</v>
      </c>
      <c r="CE23" s="19">
        <v>1704587995.99</v>
      </c>
      <c r="CF23" s="19">
        <v>1848228362.9000001</v>
      </c>
      <c r="CG23" s="19">
        <v>1676638321.5999999</v>
      </c>
      <c r="CH23" s="19">
        <v>1899546197.52</v>
      </c>
      <c r="CI23" s="19">
        <v>1773727937.25</v>
      </c>
      <c r="CJ23" s="19">
        <v>1731718826.3299999</v>
      </c>
      <c r="CK23" s="19">
        <v>2136625498.1600001</v>
      </c>
      <c r="CL23" s="19">
        <v>2014044049.5799999</v>
      </c>
      <c r="CM23" s="19">
        <v>2073064257.25</v>
      </c>
      <c r="CN23" s="26">
        <f t="shared" si="20"/>
        <v>21238314206.32</v>
      </c>
      <c r="CO23" s="19">
        <v>1640310589.51</v>
      </c>
      <c r="CP23" s="19">
        <v>1589418659.76</v>
      </c>
      <c r="CQ23" s="19">
        <v>1922988860.95</v>
      </c>
      <c r="CR23" s="19">
        <v>1745616212.6300001</v>
      </c>
      <c r="CS23" s="19">
        <v>2143643636.0699999</v>
      </c>
      <c r="CT23" s="19">
        <v>2027270560.3099999</v>
      </c>
      <c r="CU23" s="19">
        <v>2126649817.0899999</v>
      </c>
      <c r="CV23" s="19">
        <v>1946692347.1199999</v>
      </c>
      <c r="CW23" s="19">
        <v>2169563895.1399999</v>
      </c>
      <c r="CX23" s="19">
        <v>2334708487.48</v>
      </c>
      <c r="CY23" s="19">
        <v>2275241986.27</v>
      </c>
      <c r="CZ23" s="19">
        <v>2456653719.1700001</v>
      </c>
      <c r="DA23" s="26">
        <f t="shared" si="21"/>
        <v>24378758771.5</v>
      </c>
      <c r="DB23" s="23">
        <v>1746636015.0599999</v>
      </c>
      <c r="DC23" s="23">
        <v>1837029351.3099999</v>
      </c>
      <c r="DD23" s="23">
        <v>2179583510.4400001</v>
      </c>
      <c r="DE23" s="23">
        <v>2043423902.55</v>
      </c>
      <c r="DF23" s="23">
        <v>2143561116.1700001</v>
      </c>
      <c r="DG23" s="23">
        <v>2185507261.29</v>
      </c>
      <c r="DH23" s="23">
        <v>2002124509.95</v>
      </c>
      <c r="DI23" s="23">
        <v>2310425259.1900001</v>
      </c>
      <c r="DJ23" s="19">
        <v>2333875308.2800002</v>
      </c>
      <c r="DK23" s="19">
        <v>2396202117.2199998</v>
      </c>
      <c r="DL23" s="19">
        <v>2663731251.9499998</v>
      </c>
      <c r="DM23" s="19">
        <v>2555461808.0799999</v>
      </c>
      <c r="DN23" s="26">
        <f t="shared" si="23"/>
        <v>26397561411.490005</v>
      </c>
      <c r="DO23" s="49">
        <v>1875088495.8299999</v>
      </c>
      <c r="DP23" s="49">
        <v>1882851023.8800001</v>
      </c>
      <c r="DQ23" s="49">
        <v>2276399660.9200001</v>
      </c>
      <c r="DR23" s="49">
        <v>2039731074.71</v>
      </c>
      <c r="DS23" s="49">
        <v>2452273131.9299998</v>
      </c>
      <c r="DT23" s="49">
        <v>2194993401.6399999</v>
      </c>
      <c r="DU23" s="49">
        <v>2185181881.21</v>
      </c>
      <c r="DV23" s="49">
        <v>2323512706.5599999</v>
      </c>
      <c r="DW23" s="49">
        <v>2043268461.3099999</v>
      </c>
      <c r="DX23" s="49">
        <v>2594120184.0799999</v>
      </c>
      <c r="DY23" s="49">
        <v>2717339899.3699999</v>
      </c>
      <c r="DZ23" s="49">
        <v>2691661776.73</v>
      </c>
      <c r="EA23" s="27">
        <f t="shared" si="116"/>
        <v>27276421698.169998</v>
      </c>
      <c r="EB23" s="49">
        <v>2208770105.23</v>
      </c>
      <c r="EC23" s="49">
        <v>2079276384.8599999</v>
      </c>
      <c r="ED23" s="49">
        <v>2386838338.1100001</v>
      </c>
      <c r="EE23" s="49">
        <v>2288104573.0100002</v>
      </c>
      <c r="EF23" s="49">
        <v>2747526226.6199999</v>
      </c>
      <c r="EG23" s="49">
        <v>2480925968.8699999</v>
      </c>
      <c r="EH23" s="49">
        <v>2643412998.9200001</v>
      </c>
      <c r="EI23" s="49">
        <v>2775149384.98</v>
      </c>
      <c r="EJ23" s="49">
        <v>2292010205.6500001</v>
      </c>
      <c r="EK23" s="49">
        <v>3167180199.1199999</v>
      </c>
      <c r="EL23" s="49">
        <v>3164941737.3699999</v>
      </c>
      <c r="EM23" s="49">
        <v>2697332431.7399998</v>
      </c>
      <c r="EN23" s="63">
        <f>SUM(EB23:EM23)</f>
        <v>30931468554.480003</v>
      </c>
      <c r="EO23" s="49">
        <v>2539692431.1500001</v>
      </c>
      <c r="EP23" s="49">
        <v>2312221543.29</v>
      </c>
      <c r="EQ23" s="49">
        <v>2538277690.1399999</v>
      </c>
      <c r="ER23" s="49">
        <v>2353517913.4299998</v>
      </c>
      <c r="ES23" s="49">
        <v>2882700459.9899998</v>
      </c>
      <c r="ET23" s="49">
        <v>2435208821.2800002</v>
      </c>
      <c r="EU23" s="49">
        <v>2820854040.8000002</v>
      </c>
      <c r="EV23" s="49">
        <v>2686095688.7199998</v>
      </c>
      <c r="EW23" s="49">
        <v>2656670390.3200002</v>
      </c>
      <c r="EX23" s="49">
        <v>3328322735.6399999</v>
      </c>
      <c r="EY23" s="49">
        <v>3141976176.5799999</v>
      </c>
      <c r="EZ23" s="49">
        <v>2782865122.7800002</v>
      </c>
      <c r="FA23" s="63">
        <f t="shared" si="27"/>
        <v>32478403014.120003</v>
      </c>
      <c r="FB23" s="49">
        <v>2737091602.5</v>
      </c>
      <c r="FC23" s="49">
        <v>2402446000.3499999</v>
      </c>
      <c r="FD23" s="49">
        <v>2061220696.0599999</v>
      </c>
      <c r="FE23" s="49">
        <v>1477189338.79</v>
      </c>
      <c r="FF23" s="49">
        <v>1493112481.53</v>
      </c>
      <c r="FG23" s="49">
        <v>2007470157.3399999</v>
      </c>
      <c r="FH23" s="49">
        <v>2372891328.3299999</v>
      </c>
      <c r="FI23" s="49">
        <v>2507580528.3800001</v>
      </c>
      <c r="FJ23" s="49">
        <v>2732799973.7199998</v>
      </c>
      <c r="FK23" s="49">
        <v>3088808536.3000002</v>
      </c>
      <c r="FL23" s="49">
        <v>3257621105.8099999</v>
      </c>
      <c r="FM23" s="49">
        <v>3491895694.9499998</v>
      </c>
      <c r="FN23" s="63">
        <f t="shared" si="28"/>
        <v>29630127444.060005</v>
      </c>
      <c r="FO23" s="49">
        <v>2709550249.5</v>
      </c>
      <c r="FP23" s="49">
        <v>2948209860.02</v>
      </c>
      <c r="FQ23" s="49">
        <v>3253787185.1700001</v>
      </c>
      <c r="FR23" s="49">
        <v>3010043092.6300001</v>
      </c>
      <c r="FS23" s="49">
        <v>3155739735.75</v>
      </c>
      <c r="FT23" s="49">
        <v>3561024307.9899998</v>
      </c>
      <c r="FU23" s="49">
        <v>3412201548.27</v>
      </c>
      <c r="FV23" s="49">
        <v>3620103193.0100002</v>
      </c>
      <c r="FW23" s="49">
        <v>3602725349.5799999</v>
      </c>
      <c r="FX23" s="49">
        <v>4415367604.5699997</v>
      </c>
      <c r="FY23" s="49">
        <v>4890980929.8299999</v>
      </c>
      <c r="FZ23" s="49">
        <v>4057860237.9499998</v>
      </c>
      <c r="GA23" s="68">
        <f t="shared" si="30"/>
        <v>42637593294.269997</v>
      </c>
      <c r="GB23" s="49">
        <v>4000221118.7399998</v>
      </c>
      <c r="GC23" s="49">
        <v>4024559126.7800002</v>
      </c>
      <c r="GD23" s="49">
        <v>4272224107.5100002</v>
      </c>
      <c r="GE23" s="49">
        <v>3651175367.9699998</v>
      </c>
      <c r="GF23" s="49">
        <v>4256038392.4000001</v>
      </c>
      <c r="GG23" s="49">
        <v>4688144745.2399998</v>
      </c>
      <c r="GH23" s="49">
        <v>3995781730.9699998</v>
      </c>
      <c r="GI23" s="49">
        <v>4583836560.4499998</v>
      </c>
      <c r="GJ23" s="49">
        <v>4503602225.6599998</v>
      </c>
      <c r="GK23" s="49">
        <v>4214908578.0799999</v>
      </c>
      <c r="GL23" s="49">
        <v>4395056636.8500004</v>
      </c>
      <c r="GM23" s="49">
        <v>4049335493.1500001</v>
      </c>
      <c r="GN23" s="68">
        <v>50634884083.800003</v>
      </c>
      <c r="GO23" s="49">
        <v>3654164048.3600001</v>
      </c>
      <c r="GP23" s="49">
        <v>3516352599.6999998</v>
      </c>
      <c r="GQ23" s="49">
        <v>3973174038.3800001</v>
      </c>
      <c r="GR23" s="81">
        <v>3658665606.0700002</v>
      </c>
      <c r="GS23" s="49">
        <v>4217462973.8800001</v>
      </c>
      <c r="GT23" s="86">
        <v>4011367444.1100001</v>
      </c>
      <c r="GU23" s="86">
        <v>4393715553.8100004</v>
      </c>
      <c r="GV23" s="86">
        <v>4278610818.9000001</v>
      </c>
      <c r="GW23" s="86">
        <v>4688257010.7700005</v>
      </c>
      <c r="GX23" s="86">
        <v>5068231010.7799997</v>
      </c>
      <c r="GY23" s="86">
        <v>5054337163.6999998</v>
      </c>
      <c r="GZ23" s="86">
        <v>4280633492.1700001</v>
      </c>
      <c r="HA23" s="68">
        <f t="shared" si="162"/>
        <v>50794971760.629997</v>
      </c>
      <c r="HB23" s="86">
        <v>4321215979.8199997</v>
      </c>
      <c r="HC23" s="86">
        <v>3844377033.4000001</v>
      </c>
      <c r="HD23" s="86">
        <v>4222931555.9899998</v>
      </c>
      <c r="HE23" s="86">
        <v>4632622249.7399998</v>
      </c>
      <c r="HF23" s="86">
        <v>4872341374.2600002</v>
      </c>
      <c r="HG23" s="86">
        <v>4775215946.9799995</v>
      </c>
      <c r="HH23" s="86">
        <v>5439559050.1800003</v>
      </c>
      <c r="HI23" s="86">
        <v>5150459524.1599998</v>
      </c>
      <c r="HJ23" s="86">
        <v>5637540418.1999998</v>
      </c>
      <c r="HK23" s="86">
        <v>5823759356.5299997</v>
      </c>
      <c r="HL23" s="86">
        <v>5548758996.5500002</v>
      </c>
      <c r="HM23" s="86">
        <v>5841675512.5900002</v>
      </c>
      <c r="HN23" s="68">
        <f t="shared" si="138"/>
        <v>60110456998.399994</v>
      </c>
      <c r="HO23" s="86">
        <v>4516097010.2299995</v>
      </c>
      <c r="HP23" s="86">
        <v>4532064010.3299999</v>
      </c>
      <c r="HQ23" s="86">
        <v>4975778990.46</v>
      </c>
      <c r="HR23" s="86">
        <v>4976786904.4099998</v>
      </c>
      <c r="HS23" s="86">
        <v>4858087252.3400002</v>
      </c>
      <c r="HT23" s="86">
        <v>4709888839.5699997</v>
      </c>
      <c r="HU23" s="86">
        <v>5597945833.1300001</v>
      </c>
      <c r="HV23" s="86">
        <v>5342336824.6300001</v>
      </c>
      <c r="HW23" s="86">
        <v>5812179351.8199997</v>
      </c>
      <c r="HX23" s="86">
        <v>5702951788.0100002</v>
      </c>
      <c r="HY23" s="86">
        <v>5091539913.1800003</v>
      </c>
      <c r="HZ23" s="86">
        <v>5498058752.8500004</v>
      </c>
      <c r="IA23" s="68">
        <f t="shared" si="166"/>
        <v>61613715470.959999</v>
      </c>
      <c r="IB23" s="86">
        <v>4837370456.5200005</v>
      </c>
      <c r="IC23" s="86">
        <v>4112918462.0500002</v>
      </c>
      <c r="ID23" s="86">
        <v>5414778457.5600004</v>
      </c>
      <c r="IE23" s="86">
        <v>4945914107.6899996</v>
      </c>
      <c r="IF23" s="86">
        <v>4758262240.6400003</v>
      </c>
      <c r="IG23" s="86">
        <v>5751792325.1499996</v>
      </c>
      <c r="IH23" s="86">
        <v>5275068760.8400002</v>
      </c>
      <c r="II23" s="86">
        <v>5327240997.6800003</v>
      </c>
      <c r="IJ23" s="68">
        <f>SUM(IB23:II23)</f>
        <v>40423345808.129997</v>
      </c>
    </row>
    <row r="24" spans="1:244" s="11" customFormat="1" ht="18.75" x14ac:dyDescent="0.3">
      <c r="A24" s="9" t="s">
        <v>31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26">
        <f t="shared" si="15"/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25742.41</v>
      </c>
      <c r="AA24" s="26">
        <f t="shared" si="143"/>
        <v>25742.41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26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26">
        <f t="shared" si="17"/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55102082.399999999</v>
      </c>
      <c r="BL24" s="19">
        <v>60079037.399999999</v>
      </c>
      <c r="BM24" s="19">
        <v>0</v>
      </c>
      <c r="BN24" s="26">
        <f t="shared" si="18"/>
        <v>115181119.8</v>
      </c>
      <c r="BO24" s="19">
        <v>12176360</v>
      </c>
      <c r="BP24" s="19">
        <v>0</v>
      </c>
      <c r="BQ24" s="19">
        <v>0</v>
      </c>
      <c r="BR24" s="19">
        <v>0</v>
      </c>
      <c r="BS24" s="19">
        <v>16688287.560000001</v>
      </c>
      <c r="BT24" s="19">
        <v>718200</v>
      </c>
      <c r="BU24" s="19">
        <v>95942277.310000002</v>
      </c>
      <c r="BV24" s="19">
        <v>773088.62</v>
      </c>
      <c r="BW24" s="19">
        <v>0</v>
      </c>
      <c r="BX24" s="19">
        <v>0</v>
      </c>
      <c r="BY24" s="19">
        <v>0</v>
      </c>
      <c r="BZ24" s="19">
        <v>0</v>
      </c>
      <c r="CA24" s="26">
        <f t="shared" si="19"/>
        <v>126298213.49000001</v>
      </c>
      <c r="CB24" s="19">
        <v>9593318.4100000001</v>
      </c>
      <c r="CC24" s="19">
        <v>0</v>
      </c>
      <c r="CD24" s="19">
        <v>0</v>
      </c>
      <c r="CE24" s="19">
        <v>0</v>
      </c>
      <c r="CF24" s="19">
        <v>0</v>
      </c>
      <c r="CG24" s="19">
        <v>0</v>
      </c>
      <c r="CH24" s="19">
        <v>0</v>
      </c>
      <c r="CI24" s="19">
        <v>0</v>
      </c>
      <c r="CJ24" s="19">
        <v>0</v>
      </c>
      <c r="CK24" s="19">
        <v>29350839.359999999</v>
      </c>
      <c r="CL24" s="19">
        <v>86618511.430000007</v>
      </c>
      <c r="CM24" s="19">
        <v>30053427.989999998</v>
      </c>
      <c r="CN24" s="26">
        <f t="shared" si="20"/>
        <v>155616097.19</v>
      </c>
      <c r="CO24" s="19">
        <v>21422585.75</v>
      </c>
      <c r="CP24" s="19">
        <v>0</v>
      </c>
      <c r="CQ24" s="19">
        <v>0</v>
      </c>
      <c r="CR24" s="19">
        <v>0</v>
      </c>
      <c r="CS24" s="19">
        <v>0</v>
      </c>
      <c r="CT24" s="19">
        <v>1105720.44</v>
      </c>
      <c r="CU24" s="19">
        <v>277185472.19</v>
      </c>
      <c r="CV24" s="19">
        <v>43923765.380000003</v>
      </c>
      <c r="CW24" s="19">
        <v>104699914.2</v>
      </c>
      <c r="CX24" s="19">
        <v>0</v>
      </c>
      <c r="CY24" s="19">
        <v>279962140.93000001</v>
      </c>
      <c r="CZ24" s="19">
        <v>106254628.63</v>
      </c>
      <c r="DA24" s="26">
        <f t="shared" si="21"/>
        <v>834554227.51999998</v>
      </c>
      <c r="DB24" s="19">
        <v>0</v>
      </c>
      <c r="DC24" s="19">
        <v>0</v>
      </c>
      <c r="DD24" s="19">
        <v>0</v>
      </c>
      <c r="DE24" s="19">
        <v>47221960.659999996</v>
      </c>
      <c r="DF24" s="19">
        <v>334232298.39999998</v>
      </c>
      <c r="DG24" s="19">
        <v>0</v>
      </c>
      <c r="DH24" s="19">
        <v>0</v>
      </c>
      <c r="DI24" s="19">
        <v>101900669.38</v>
      </c>
      <c r="DJ24" s="19">
        <v>0</v>
      </c>
      <c r="DK24" s="19">
        <v>54441564.979999997</v>
      </c>
      <c r="DL24" s="19">
        <v>236184645.81999999</v>
      </c>
      <c r="DM24" s="19">
        <v>115098193.34999999</v>
      </c>
      <c r="DN24" s="26">
        <f t="shared" si="23"/>
        <v>889079332.59000003</v>
      </c>
      <c r="DO24" s="49">
        <v>0</v>
      </c>
      <c r="DP24" s="49">
        <v>0</v>
      </c>
      <c r="DQ24" s="49">
        <v>163701753.49000001</v>
      </c>
      <c r="DR24" s="49">
        <v>0</v>
      </c>
      <c r="DS24" s="49">
        <v>0</v>
      </c>
      <c r="DT24" s="49">
        <v>608805300.17999995</v>
      </c>
      <c r="DU24" s="49">
        <v>0</v>
      </c>
      <c r="DV24" s="49">
        <v>0</v>
      </c>
      <c r="DW24" s="49">
        <v>0</v>
      </c>
      <c r="DX24" s="49">
        <v>75238123.280000001</v>
      </c>
      <c r="DY24" s="49">
        <v>578606466.48000002</v>
      </c>
      <c r="DZ24" s="49">
        <v>0</v>
      </c>
      <c r="EA24" s="27">
        <f t="shared" si="116"/>
        <v>1426351643.4299998</v>
      </c>
      <c r="EB24" s="49">
        <v>45477531.229999997</v>
      </c>
      <c r="EC24" s="49">
        <v>45387890.890000001</v>
      </c>
      <c r="ED24" s="49">
        <v>89286044.739999995</v>
      </c>
      <c r="EE24" s="49">
        <v>0</v>
      </c>
      <c r="EF24" s="49">
        <v>0</v>
      </c>
      <c r="EG24" s="49">
        <v>0</v>
      </c>
      <c r="EH24" s="49">
        <v>786777321.11000001</v>
      </c>
      <c r="EI24" s="49">
        <v>0</v>
      </c>
      <c r="EJ24" s="49">
        <v>22576085</v>
      </c>
      <c r="EK24" s="49">
        <v>26892101.25</v>
      </c>
      <c r="EL24" s="49">
        <v>148026077.33000001</v>
      </c>
      <c r="EM24" s="49">
        <v>0</v>
      </c>
      <c r="EN24" s="63">
        <f>SUM(EB24:EM24)</f>
        <v>1164423051.55</v>
      </c>
      <c r="EO24" s="49">
        <v>0</v>
      </c>
      <c r="EP24" s="49">
        <v>0</v>
      </c>
      <c r="EQ24" s="49">
        <v>0</v>
      </c>
      <c r="ER24" s="49">
        <v>0</v>
      </c>
      <c r="ES24" s="49">
        <v>0</v>
      </c>
      <c r="ET24" s="49">
        <v>0</v>
      </c>
      <c r="EU24" s="49">
        <v>0</v>
      </c>
      <c r="EV24" s="49">
        <v>0</v>
      </c>
      <c r="EW24" s="49">
        <v>0</v>
      </c>
      <c r="EX24" s="49">
        <v>0</v>
      </c>
      <c r="EY24" s="49">
        <v>0</v>
      </c>
      <c r="EZ24" s="49">
        <v>0</v>
      </c>
      <c r="FA24" s="63">
        <f t="shared" si="27"/>
        <v>0</v>
      </c>
      <c r="FB24" s="49">
        <v>0</v>
      </c>
      <c r="FC24" s="49">
        <v>0</v>
      </c>
      <c r="FD24" s="49">
        <v>0</v>
      </c>
      <c r="FE24" s="49">
        <v>0</v>
      </c>
      <c r="FF24" s="49">
        <v>0</v>
      </c>
      <c r="FG24" s="49">
        <v>0</v>
      </c>
      <c r="FH24" s="49">
        <v>0</v>
      </c>
      <c r="FI24" s="49">
        <v>0</v>
      </c>
      <c r="FJ24" s="49">
        <v>0</v>
      </c>
      <c r="FK24" s="49">
        <v>0</v>
      </c>
      <c r="FL24" s="49">
        <v>0</v>
      </c>
      <c r="FM24" s="49">
        <v>0</v>
      </c>
      <c r="FN24" s="63">
        <f t="shared" si="28"/>
        <v>0</v>
      </c>
      <c r="FO24" s="49">
        <v>0</v>
      </c>
      <c r="FP24" s="49">
        <v>0</v>
      </c>
      <c r="FQ24" s="49">
        <v>0</v>
      </c>
      <c r="FR24" s="49">
        <v>0</v>
      </c>
      <c r="FS24" s="49">
        <v>0</v>
      </c>
      <c r="FT24" s="49">
        <v>0</v>
      </c>
      <c r="FU24" s="49">
        <v>0</v>
      </c>
      <c r="FV24" s="49">
        <v>0</v>
      </c>
      <c r="FW24" s="49">
        <v>0</v>
      </c>
      <c r="FX24" s="49">
        <v>0</v>
      </c>
      <c r="FY24" s="49">
        <v>0</v>
      </c>
      <c r="FZ24" s="49">
        <v>0</v>
      </c>
      <c r="GA24" s="68">
        <f t="shared" si="30"/>
        <v>0</v>
      </c>
      <c r="GB24" s="49">
        <v>0</v>
      </c>
      <c r="GC24" s="49">
        <v>0</v>
      </c>
      <c r="GD24" s="49">
        <v>0</v>
      </c>
      <c r="GE24" s="49">
        <v>0</v>
      </c>
      <c r="GF24" s="49">
        <v>0</v>
      </c>
      <c r="GG24" s="49">
        <v>0</v>
      </c>
      <c r="GH24" s="49">
        <v>0</v>
      </c>
      <c r="GI24" s="49">
        <v>0</v>
      </c>
      <c r="GJ24" s="49">
        <v>0</v>
      </c>
      <c r="GK24" s="49">
        <v>0</v>
      </c>
      <c r="GL24" s="49">
        <v>0</v>
      </c>
      <c r="GM24" s="49">
        <v>0</v>
      </c>
      <c r="GN24" s="68">
        <v>0</v>
      </c>
      <c r="GO24" s="49">
        <v>0</v>
      </c>
      <c r="GP24" s="49">
        <v>0</v>
      </c>
      <c r="GQ24" s="49">
        <v>0</v>
      </c>
      <c r="GR24" s="81">
        <v>0</v>
      </c>
      <c r="GS24" s="49">
        <v>0</v>
      </c>
      <c r="GT24" s="86">
        <v>0</v>
      </c>
      <c r="GU24" s="86">
        <v>0</v>
      </c>
      <c r="GV24" s="86">
        <v>0</v>
      </c>
      <c r="GW24" s="86">
        <v>0</v>
      </c>
      <c r="GX24" s="86">
        <v>0</v>
      </c>
      <c r="GY24" s="86">
        <v>0</v>
      </c>
      <c r="GZ24" s="86">
        <v>0</v>
      </c>
      <c r="HA24" s="68">
        <f t="shared" si="162"/>
        <v>0</v>
      </c>
      <c r="HB24" s="86">
        <v>0</v>
      </c>
      <c r="HC24" s="86">
        <v>0</v>
      </c>
      <c r="HD24" s="86">
        <v>0</v>
      </c>
      <c r="HE24" s="86">
        <v>0</v>
      </c>
      <c r="HF24" s="86">
        <v>0</v>
      </c>
      <c r="HG24" s="86">
        <v>0</v>
      </c>
      <c r="HH24" s="86">
        <v>0</v>
      </c>
      <c r="HI24" s="86">
        <v>0</v>
      </c>
      <c r="HJ24" s="86">
        <v>0</v>
      </c>
      <c r="HK24" s="86">
        <v>0</v>
      </c>
      <c r="HL24" s="86">
        <v>0</v>
      </c>
      <c r="HM24" s="86">
        <v>0</v>
      </c>
      <c r="HN24" s="68">
        <f t="shared" si="138"/>
        <v>0</v>
      </c>
      <c r="HO24" s="86">
        <v>0</v>
      </c>
      <c r="HP24" s="86">
        <v>0</v>
      </c>
      <c r="HQ24" s="86">
        <v>0</v>
      </c>
      <c r="HR24" s="86">
        <v>0</v>
      </c>
      <c r="HS24" s="86">
        <v>0</v>
      </c>
      <c r="HT24" s="86">
        <v>0</v>
      </c>
      <c r="HU24" s="86">
        <v>0</v>
      </c>
      <c r="HV24" s="86">
        <v>0</v>
      </c>
      <c r="HW24" s="86">
        <v>0</v>
      </c>
      <c r="HX24" s="86">
        <v>0</v>
      </c>
      <c r="HY24" s="86">
        <v>0</v>
      </c>
      <c r="HZ24" s="86">
        <v>0</v>
      </c>
      <c r="IA24" s="68">
        <f t="shared" si="166"/>
        <v>0</v>
      </c>
      <c r="IB24" s="86">
        <v>0</v>
      </c>
      <c r="IC24" s="86">
        <v>0</v>
      </c>
      <c r="ID24" s="86">
        <v>0</v>
      </c>
      <c r="IE24" s="86">
        <v>0</v>
      </c>
      <c r="IF24" s="86">
        <v>0</v>
      </c>
      <c r="IG24" s="86">
        <v>0</v>
      </c>
      <c r="IH24" s="86">
        <v>0</v>
      </c>
      <c r="II24" s="86">
        <v>0</v>
      </c>
      <c r="IJ24" s="68">
        <f t="shared" ref="IJ24:IJ29" si="168">SUM(IB24:II24)</f>
        <v>0</v>
      </c>
    </row>
    <row r="25" spans="1:244" s="11" customFormat="1" ht="18.75" x14ac:dyDescent="0.3">
      <c r="A25" s="4" t="s">
        <v>32</v>
      </c>
      <c r="B25" s="16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3978352.8</v>
      </c>
      <c r="J25" s="17">
        <v>932271.51</v>
      </c>
      <c r="K25" s="17">
        <v>453019.09</v>
      </c>
      <c r="L25" s="17">
        <v>0</v>
      </c>
      <c r="M25" s="17">
        <v>0</v>
      </c>
      <c r="N25" s="26">
        <f t="shared" si="15"/>
        <v>5363643.3999999994</v>
      </c>
      <c r="O25" s="17">
        <v>4535124.95</v>
      </c>
      <c r="P25" s="17">
        <v>0</v>
      </c>
      <c r="Q25" s="17">
        <v>761061.2</v>
      </c>
      <c r="R25" s="17">
        <v>0</v>
      </c>
      <c r="S25" s="17">
        <v>0</v>
      </c>
      <c r="T25" s="17">
        <v>0</v>
      </c>
      <c r="U25" s="17">
        <v>1645243.84</v>
      </c>
      <c r="V25" s="17">
        <v>896722.98</v>
      </c>
      <c r="W25" s="17">
        <v>124192.6</v>
      </c>
      <c r="X25" s="17">
        <v>1504557.25</v>
      </c>
      <c r="Y25" s="17">
        <v>419627.36</v>
      </c>
      <c r="Z25" s="17">
        <v>0</v>
      </c>
      <c r="AA25" s="26">
        <f t="shared" si="143"/>
        <v>9886530.1799999997</v>
      </c>
      <c r="AB25" s="17">
        <v>0</v>
      </c>
      <c r="AC25" s="17">
        <v>2204886.0499999998</v>
      </c>
      <c r="AD25" s="17">
        <v>0</v>
      </c>
      <c r="AE25" s="17">
        <v>340667.18</v>
      </c>
      <c r="AF25" s="17">
        <v>0</v>
      </c>
      <c r="AG25" s="17">
        <v>507025.3</v>
      </c>
      <c r="AH25" s="17">
        <v>0</v>
      </c>
      <c r="AI25" s="17">
        <v>852049.46</v>
      </c>
      <c r="AJ25" s="17">
        <v>427413.29</v>
      </c>
      <c r="AK25" s="17">
        <v>555140.07999999996</v>
      </c>
      <c r="AL25" s="17">
        <v>398576.16</v>
      </c>
      <c r="AM25" s="17">
        <v>51311.3</v>
      </c>
      <c r="AN25" s="26">
        <v>5337068.8199999994</v>
      </c>
      <c r="AO25" s="17">
        <v>0</v>
      </c>
      <c r="AP25" s="17">
        <v>0</v>
      </c>
      <c r="AQ25" s="17">
        <v>707549.59</v>
      </c>
      <c r="AR25" s="17">
        <v>541230.31000000006</v>
      </c>
      <c r="AS25" s="17">
        <v>0</v>
      </c>
      <c r="AT25" s="17">
        <v>0</v>
      </c>
      <c r="AU25" s="17">
        <v>910427.74</v>
      </c>
      <c r="AV25" s="17">
        <v>0</v>
      </c>
      <c r="AW25" s="17">
        <v>410645.64</v>
      </c>
      <c r="AX25" s="17">
        <v>361471.04</v>
      </c>
      <c r="AY25" s="17">
        <v>493101.91</v>
      </c>
      <c r="AZ25" s="17">
        <v>2269217.98</v>
      </c>
      <c r="BA25" s="26">
        <f t="shared" si="17"/>
        <v>5693644.21</v>
      </c>
      <c r="BB25" s="17">
        <v>0</v>
      </c>
      <c r="BC25" s="17">
        <v>328111.27</v>
      </c>
      <c r="BD25" s="17">
        <v>427351.42</v>
      </c>
      <c r="BE25" s="17">
        <v>0</v>
      </c>
      <c r="BF25" s="17">
        <v>0</v>
      </c>
      <c r="BG25" s="17">
        <v>801867.09</v>
      </c>
      <c r="BH25" s="17">
        <v>0</v>
      </c>
      <c r="BI25" s="17">
        <v>0</v>
      </c>
      <c r="BJ25" s="17">
        <v>344502.36</v>
      </c>
      <c r="BK25" s="17">
        <v>440288.67</v>
      </c>
      <c r="BL25" s="17">
        <v>0</v>
      </c>
      <c r="BM25" s="17">
        <v>0</v>
      </c>
      <c r="BN25" s="26">
        <f t="shared" si="18"/>
        <v>2342120.8099999996</v>
      </c>
      <c r="BO25" s="17">
        <v>784984.92</v>
      </c>
      <c r="BP25" s="17">
        <v>0</v>
      </c>
      <c r="BQ25" s="17">
        <v>2483754.04</v>
      </c>
      <c r="BR25" s="17">
        <v>2078915.25</v>
      </c>
      <c r="BS25" s="17">
        <v>0</v>
      </c>
      <c r="BT25" s="17">
        <v>1229759.6299999999</v>
      </c>
      <c r="BU25" s="17">
        <v>0</v>
      </c>
      <c r="BV25" s="17">
        <v>36483.980000000003</v>
      </c>
      <c r="BW25" s="17">
        <v>714531.45</v>
      </c>
      <c r="BX25" s="17">
        <v>0</v>
      </c>
      <c r="BY25" s="17">
        <v>1550926.25</v>
      </c>
      <c r="BZ25" s="17">
        <v>0</v>
      </c>
      <c r="CA25" s="26">
        <f t="shared" si="19"/>
        <v>8879355.5199999996</v>
      </c>
      <c r="CB25" s="17">
        <v>487290.85</v>
      </c>
      <c r="CC25" s="17">
        <v>516342.73</v>
      </c>
      <c r="CD25" s="17">
        <v>0</v>
      </c>
      <c r="CE25" s="17">
        <v>386479.1</v>
      </c>
      <c r="CF25" s="17">
        <v>0</v>
      </c>
      <c r="CG25" s="17">
        <v>4758918.22</v>
      </c>
      <c r="CH25" s="17">
        <v>1400000</v>
      </c>
      <c r="CI25" s="17">
        <v>1450297.38</v>
      </c>
      <c r="CJ25" s="17">
        <v>0</v>
      </c>
      <c r="CK25" s="17">
        <v>866838.95</v>
      </c>
      <c r="CL25" s="17">
        <v>0</v>
      </c>
      <c r="CM25" s="17">
        <v>2197262.27</v>
      </c>
      <c r="CN25" s="26">
        <f t="shared" si="20"/>
        <v>12063429.499999998</v>
      </c>
      <c r="CO25" s="17">
        <v>0</v>
      </c>
      <c r="CP25" s="17">
        <v>1099338.75</v>
      </c>
      <c r="CQ25" s="17">
        <v>3127035.92</v>
      </c>
      <c r="CR25" s="17">
        <v>0</v>
      </c>
      <c r="CS25" s="17">
        <v>0</v>
      </c>
      <c r="CT25" s="17">
        <v>3438414.96</v>
      </c>
      <c r="CU25" s="17">
        <v>0</v>
      </c>
      <c r="CV25" s="17">
        <v>0</v>
      </c>
      <c r="CW25" s="17">
        <v>0</v>
      </c>
      <c r="CX25" s="17">
        <v>0</v>
      </c>
      <c r="CY25" s="17">
        <v>0</v>
      </c>
      <c r="CZ25" s="17">
        <v>0</v>
      </c>
      <c r="DA25" s="26">
        <f t="shared" si="21"/>
        <v>7664789.6299999999</v>
      </c>
      <c r="DB25" s="17">
        <v>0</v>
      </c>
      <c r="DC25" s="17">
        <v>0</v>
      </c>
      <c r="DD25" s="17">
        <v>0</v>
      </c>
      <c r="DE25" s="17">
        <v>0</v>
      </c>
      <c r="DF25" s="17">
        <v>0</v>
      </c>
      <c r="DG25" s="17">
        <v>0</v>
      </c>
      <c r="DH25" s="17">
        <v>0</v>
      </c>
      <c r="DI25" s="17">
        <v>0</v>
      </c>
      <c r="DJ25" s="17">
        <v>0</v>
      </c>
      <c r="DK25" s="17">
        <v>0</v>
      </c>
      <c r="DL25" s="17">
        <v>0</v>
      </c>
      <c r="DM25" s="17">
        <v>0</v>
      </c>
      <c r="DN25" s="26">
        <f t="shared" si="23"/>
        <v>0</v>
      </c>
      <c r="DO25" s="48">
        <v>0</v>
      </c>
      <c r="DP25" s="48">
        <v>0</v>
      </c>
      <c r="DQ25" s="48">
        <v>0</v>
      </c>
      <c r="DR25" s="48">
        <v>0</v>
      </c>
      <c r="DS25" s="48">
        <v>0</v>
      </c>
      <c r="DT25" s="48">
        <v>0</v>
      </c>
      <c r="DU25" s="48">
        <v>0</v>
      </c>
      <c r="DV25" s="48">
        <v>0</v>
      </c>
      <c r="DW25" s="48">
        <v>0</v>
      </c>
      <c r="DX25" s="48">
        <v>0</v>
      </c>
      <c r="DY25" s="48">
        <v>0</v>
      </c>
      <c r="DZ25" s="48">
        <v>0</v>
      </c>
      <c r="EA25" s="27">
        <f t="shared" si="116"/>
        <v>0</v>
      </c>
      <c r="EB25" s="48">
        <v>0</v>
      </c>
      <c r="EC25" s="48">
        <v>0</v>
      </c>
      <c r="ED25" s="48">
        <v>0</v>
      </c>
      <c r="EE25" s="48">
        <v>0</v>
      </c>
      <c r="EF25" s="48">
        <v>0</v>
      </c>
      <c r="EG25" s="48">
        <v>0</v>
      </c>
      <c r="EH25" s="48">
        <v>0</v>
      </c>
      <c r="EI25" s="48">
        <v>0</v>
      </c>
      <c r="EJ25" s="48">
        <v>0</v>
      </c>
      <c r="EK25" s="48">
        <v>0</v>
      </c>
      <c r="EL25" s="48">
        <v>0</v>
      </c>
      <c r="EM25" s="48">
        <v>0</v>
      </c>
      <c r="EN25" s="47">
        <f t="shared" si="39"/>
        <v>0</v>
      </c>
      <c r="EO25" s="48">
        <v>0</v>
      </c>
      <c r="EP25" s="48">
        <v>0</v>
      </c>
      <c r="EQ25" s="48">
        <v>0</v>
      </c>
      <c r="ER25" s="48">
        <v>0</v>
      </c>
      <c r="ES25" s="48">
        <v>0</v>
      </c>
      <c r="ET25" s="48">
        <v>0</v>
      </c>
      <c r="EU25" s="48">
        <v>0</v>
      </c>
      <c r="EV25" s="48">
        <v>0</v>
      </c>
      <c r="EW25" s="48">
        <v>0</v>
      </c>
      <c r="EX25" s="48">
        <v>0</v>
      </c>
      <c r="EY25" s="48">
        <v>0</v>
      </c>
      <c r="EZ25" s="48">
        <v>0</v>
      </c>
      <c r="FA25" s="47">
        <f t="shared" si="27"/>
        <v>0</v>
      </c>
      <c r="FB25" s="48">
        <v>0</v>
      </c>
      <c r="FC25" s="48">
        <v>0</v>
      </c>
      <c r="FD25" s="48">
        <v>0</v>
      </c>
      <c r="FE25" s="48">
        <v>0</v>
      </c>
      <c r="FF25" s="48">
        <v>0</v>
      </c>
      <c r="FG25" s="48">
        <v>0</v>
      </c>
      <c r="FH25" s="48">
        <v>0</v>
      </c>
      <c r="FI25" s="48">
        <v>0</v>
      </c>
      <c r="FJ25" s="48">
        <v>0</v>
      </c>
      <c r="FK25" s="48">
        <v>0</v>
      </c>
      <c r="FL25" s="48">
        <v>0</v>
      </c>
      <c r="FM25" s="48">
        <v>0</v>
      </c>
      <c r="FN25" s="47">
        <f t="shared" si="28"/>
        <v>0</v>
      </c>
      <c r="FO25" s="48">
        <v>0</v>
      </c>
      <c r="FP25" s="48">
        <v>0</v>
      </c>
      <c r="FQ25" s="48">
        <v>0</v>
      </c>
      <c r="FR25" s="48">
        <v>0</v>
      </c>
      <c r="FS25" s="48">
        <v>0</v>
      </c>
      <c r="FT25" s="48">
        <v>0</v>
      </c>
      <c r="FU25" s="48">
        <v>0</v>
      </c>
      <c r="FV25" s="48">
        <v>0</v>
      </c>
      <c r="FW25" s="48">
        <v>0</v>
      </c>
      <c r="FX25" s="48">
        <v>0</v>
      </c>
      <c r="FY25" s="48">
        <v>0</v>
      </c>
      <c r="FZ25" s="48">
        <v>0</v>
      </c>
      <c r="GA25" s="68">
        <f t="shared" si="30"/>
        <v>0</v>
      </c>
      <c r="GB25" s="48">
        <v>0</v>
      </c>
      <c r="GC25" s="48">
        <v>0</v>
      </c>
      <c r="GD25" s="48">
        <v>0</v>
      </c>
      <c r="GE25" s="48">
        <v>0</v>
      </c>
      <c r="GF25" s="48">
        <v>0</v>
      </c>
      <c r="GG25" s="48">
        <v>0</v>
      </c>
      <c r="GH25" s="48">
        <v>0</v>
      </c>
      <c r="GI25" s="48">
        <v>0</v>
      </c>
      <c r="GJ25" s="48">
        <v>0</v>
      </c>
      <c r="GK25" s="48">
        <v>0</v>
      </c>
      <c r="GL25" s="48">
        <v>0</v>
      </c>
      <c r="GM25" s="48">
        <v>0</v>
      </c>
      <c r="GN25" s="68">
        <v>0</v>
      </c>
      <c r="GO25" s="48">
        <v>0</v>
      </c>
      <c r="GP25" s="48">
        <v>0</v>
      </c>
      <c r="GQ25" s="48">
        <v>0</v>
      </c>
      <c r="GR25" s="80">
        <v>0</v>
      </c>
      <c r="GS25" s="48">
        <v>0</v>
      </c>
      <c r="GT25" s="85">
        <v>0</v>
      </c>
      <c r="GU25" s="85">
        <v>0</v>
      </c>
      <c r="GV25" s="85">
        <v>0</v>
      </c>
      <c r="GW25" s="85">
        <v>0</v>
      </c>
      <c r="GX25" s="85">
        <v>0</v>
      </c>
      <c r="GY25" s="85">
        <v>0</v>
      </c>
      <c r="GZ25" s="85">
        <v>0</v>
      </c>
      <c r="HA25" s="68">
        <f t="shared" si="162"/>
        <v>0</v>
      </c>
      <c r="HB25" s="85">
        <v>0</v>
      </c>
      <c r="HC25" s="85">
        <v>0</v>
      </c>
      <c r="HD25" s="85">
        <v>0</v>
      </c>
      <c r="HE25" s="85">
        <v>0</v>
      </c>
      <c r="HF25" s="85">
        <v>0</v>
      </c>
      <c r="HG25" s="85">
        <v>0</v>
      </c>
      <c r="HH25" s="85">
        <v>0</v>
      </c>
      <c r="HI25" s="85">
        <v>0</v>
      </c>
      <c r="HJ25" s="85">
        <v>0</v>
      </c>
      <c r="HK25" s="85">
        <v>0</v>
      </c>
      <c r="HL25" s="85">
        <v>0</v>
      </c>
      <c r="HM25" s="85">
        <v>0</v>
      </c>
      <c r="HN25" s="68">
        <f t="shared" si="138"/>
        <v>0</v>
      </c>
      <c r="HO25" s="85">
        <v>0</v>
      </c>
      <c r="HP25" s="85">
        <v>0</v>
      </c>
      <c r="HQ25" s="85">
        <v>0</v>
      </c>
      <c r="HR25" s="85">
        <v>0</v>
      </c>
      <c r="HS25" s="85">
        <v>0</v>
      </c>
      <c r="HT25" s="85">
        <v>0</v>
      </c>
      <c r="HU25" s="85">
        <v>0</v>
      </c>
      <c r="HV25" s="85">
        <v>0</v>
      </c>
      <c r="HW25" s="85">
        <v>0</v>
      </c>
      <c r="HX25" s="85">
        <v>0</v>
      </c>
      <c r="HY25" s="85">
        <v>0</v>
      </c>
      <c r="HZ25" s="85">
        <v>0</v>
      </c>
      <c r="IA25" s="68">
        <f t="shared" si="166"/>
        <v>0</v>
      </c>
      <c r="IB25" s="85">
        <v>0</v>
      </c>
      <c r="IC25" s="85">
        <v>0</v>
      </c>
      <c r="ID25" s="85">
        <v>0</v>
      </c>
      <c r="IE25" s="85">
        <v>0</v>
      </c>
      <c r="IF25" s="85">
        <v>0</v>
      </c>
      <c r="IG25" s="85">
        <v>0</v>
      </c>
      <c r="IH25" s="85">
        <v>0</v>
      </c>
      <c r="II25" s="85">
        <v>0</v>
      </c>
      <c r="IJ25" s="68">
        <f t="shared" si="168"/>
        <v>0</v>
      </c>
    </row>
    <row r="26" spans="1:244" s="11" customFormat="1" ht="18.75" x14ac:dyDescent="0.3">
      <c r="A26" s="4" t="s">
        <v>33</v>
      </c>
      <c r="B26" s="20">
        <v>10337728.76</v>
      </c>
      <c r="C26" s="21">
        <v>7899120.4000000004</v>
      </c>
      <c r="D26" s="21">
        <v>8064099.4299999997</v>
      </c>
      <c r="E26" s="21">
        <v>8477406.5399999991</v>
      </c>
      <c r="F26" s="21">
        <v>8793196.5199999996</v>
      </c>
      <c r="G26" s="21">
        <v>8045400.1099999994</v>
      </c>
      <c r="H26" s="21">
        <v>8461464.0700000003</v>
      </c>
      <c r="I26" s="21">
        <v>10294229.68</v>
      </c>
      <c r="J26" s="21">
        <v>7566621.6500000004</v>
      </c>
      <c r="K26" s="21">
        <v>12303558.879999999</v>
      </c>
      <c r="L26" s="21">
        <v>9486945.3300000001</v>
      </c>
      <c r="M26" s="21">
        <v>8282836.7200000007</v>
      </c>
      <c r="N26" s="26">
        <f t="shared" si="15"/>
        <v>108012608.08999999</v>
      </c>
      <c r="O26" s="21">
        <v>9240884.5099999998</v>
      </c>
      <c r="P26" s="21">
        <v>6606020.4900000002</v>
      </c>
      <c r="Q26" s="21">
        <v>7500771.8900000006</v>
      </c>
      <c r="R26" s="21">
        <v>8837120.1600000001</v>
      </c>
      <c r="S26" s="21">
        <v>7234069.5099999998</v>
      </c>
      <c r="T26" s="21">
        <v>7725436.3200000003</v>
      </c>
      <c r="U26" s="21">
        <v>8565119.8900000006</v>
      </c>
      <c r="V26" s="21">
        <v>8958606.6799999997</v>
      </c>
      <c r="W26" s="21">
        <v>9231223.8599999994</v>
      </c>
      <c r="X26" s="21">
        <v>8871643.0300000012</v>
      </c>
      <c r="Y26" s="21">
        <v>7979064.0499999998</v>
      </c>
      <c r="Z26" s="21">
        <v>8245069.2699999996</v>
      </c>
      <c r="AA26" s="26">
        <f t="shared" si="143"/>
        <v>98995029.659999996</v>
      </c>
      <c r="AB26" s="21">
        <v>15582849.880000001</v>
      </c>
      <c r="AC26" s="21">
        <v>13899701.6</v>
      </c>
      <c r="AD26" s="21">
        <v>11463563.49</v>
      </c>
      <c r="AE26" s="21">
        <v>9494710.3300000001</v>
      </c>
      <c r="AF26" s="21">
        <v>8284085.4199999999</v>
      </c>
      <c r="AG26" s="21">
        <v>7971319.7000000002</v>
      </c>
      <c r="AH26" s="21">
        <v>11236123.719999999</v>
      </c>
      <c r="AI26" s="21">
        <v>12451263.949999999</v>
      </c>
      <c r="AJ26" s="21">
        <v>14065862.52</v>
      </c>
      <c r="AK26" s="21">
        <v>11624012.189999999</v>
      </c>
      <c r="AL26" s="21">
        <v>8053553.4600000009</v>
      </c>
      <c r="AM26" s="21">
        <v>11633879.73</v>
      </c>
      <c r="AN26" s="26">
        <v>135760925.98999998</v>
      </c>
      <c r="AO26" s="21">
        <v>11021402.979999999</v>
      </c>
      <c r="AP26" s="21">
        <v>11246299.68</v>
      </c>
      <c r="AQ26" s="21">
        <v>12868335.99</v>
      </c>
      <c r="AR26" s="21">
        <v>13476379.859999999</v>
      </c>
      <c r="AS26" s="21">
        <v>11520090.970000001</v>
      </c>
      <c r="AT26" s="21">
        <v>11676442.49</v>
      </c>
      <c r="AU26" s="21">
        <v>13042935.709999999</v>
      </c>
      <c r="AV26" s="21">
        <v>12612922.039999999</v>
      </c>
      <c r="AW26" s="21">
        <v>13472496.59</v>
      </c>
      <c r="AX26" s="21">
        <v>9911845.9199999999</v>
      </c>
      <c r="AY26" s="21">
        <v>9912797.1999999993</v>
      </c>
      <c r="AZ26" s="21">
        <v>14402952.790000001</v>
      </c>
      <c r="BA26" s="26">
        <f t="shared" si="17"/>
        <v>145164902.22</v>
      </c>
      <c r="BB26" s="21">
        <v>15419089.26</v>
      </c>
      <c r="BC26" s="21">
        <v>15432739.609999999</v>
      </c>
      <c r="BD26" s="21">
        <v>13230212.300000001</v>
      </c>
      <c r="BE26" s="21">
        <v>12312464.720000001</v>
      </c>
      <c r="BF26" s="21">
        <v>12876961.739999998</v>
      </c>
      <c r="BG26" s="21">
        <v>11689338.32</v>
      </c>
      <c r="BH26" s="21">
        <v>14248847.060000001</v>
      </c>
      <c r="BI26" s="21">
        <v>15505793.789999999</v>
      </c>
      <c r="BJ26" s="21">
        <v>14174963.040000001</v>
      </c>
      <c r="BK26" s="21">
        <v>15009879.029999999</v>
      </c>
      <c r="BL26" s="21">
        <v>16923792.449999999</v>
      </c>
      <c r="BM26" s="21">
        <v>19113497.91</v>
      </c>
      <c r="BN26" s="26">
        <f t="shared" si="18"/>
        <v>175937579.22999996</v>
      </c>
      <c r="BO26" s="21">
        <v>21534835.220000003</v>
      </c>
      <c r="BP26" s="21">
        <v>16985320.699999999</v>
      </c>
      <c r="BQ26" s="21">
        <v>20973888.350000001</v>
      </c>
      <c r="BR26" s="21">
        <v>28212121.439999998</v>
      </c>
      <c r="BS26" s="21">
        <v>21114560.66</v>
      </c>
      <c r="BT26" s="21">
        <v>19685594.18</v>
      </c>
      <c r="BU26" s="21">
        <v>25866747.18</v>
      </c>
      <c r="BV26" s="21">
        <v>20067016.149999999</v>
      </c>
      <c r="BW26" s="21">
        <v>21205561.700000003</v>
      </c>
      <c r="BX26" s="21">
        <v>19460236.09</v>
      </c>
      <c r="BY26" s="21">
        <v>15733006.259999998</v>
      </c>
      <c r="BZ26" s="21">
        <v>21320849.189999998</v>
      </c>
      <c r="CA26" s="26">
        <f t="shared" si="19"/>
        <v>252159737.12000003</v>
      </c>
      <c r="CB26" s="21">
        <v>27883042.549999997</v>
      </c>
      <c r="CC26" s="21">
        <v>18453780.52</v>
      </c>
      <c r="CD26" s="21">
        <v>21400187.09</v>
      </c>
      <c r="CE26" s="21">
        <v>21939161.600000001</v>
      </c>
      <c r="CF26" s="21">
        <v>20835244.57</v>
      </c>
      <c r="CG26" s="21">
        <v>17417101.41</v>
      </c>
      <c r="CH26" s="21">
        <v>18416482.390000001</v>
      </c>
      <c r="CI26" s="21">
        <v>19727522.669999998</v>
      </c>
      <c r="CJ26" s="21">
        <v>21710895.560000002</v>
      </c>
      <c r="CK26" s="21">
        <v>17668435.810000002</v>
      </c>
      <c r="CL26" s="21">
        <v>15575875.1</v>
      </c>
      <c r="CM26" s="21">
        <v>18682439.289999999</v>
      </c>
      <c r="CN26" s="26">
        <f t="shared" si="20"/>
        <v>239710168.55999997</v>
      </c>
      <c r="CO26" s="21">
        <v>21986302.619999997</v>
      </c>
      <c r="CP26" s="21">
        <v>16408438.370000001</v>
      </c>
      <c r="CQ26" s="21">
        <v>16319070.91</v>
      </c>
      <c r="CR26" s="21">
        <v>16953188.5</v>
      </c>
      <c r="CS26" s="21">
        <v>18158494.530000001</v>
      </c>
      <c r="CT26" s="21">
        <v>15746503.790000001</v>
      </c>
      <c r="CU26" s="21">
        <v>18755100.27</v>
      </c>
      <c r="CV26" s="21">
        <v>15561698.640000001</v>
      </c>
      <c r="CW26" s="21">
        <v>17577118.930000003</v>
      </c>
      <c r="CX26" s="21">
        <v>14231317.689999999</v>
      </c>
      <c r="CY26" s="21">
        <v>16038915.48</v>
      </c>
      <c r="CZ26" s="21">
        <v>18031943.050000001</v>
      </c>
      <c r="DA26" s="26">
        <f t="shared" si="21"/>
        <v>205768092.78</v>
      </c>
      <c r="DB26" s="21">
        <v>16369116.109999999</v>
      </c>
      <c r="DC26" s="21">
        <f>+DC27+DC29</f>
        <v>13723789</v>
      </c>
      <c r="DD26" s="21">
        <f>+DD27+DD29</f>
        <v>13876633.289999999</v>
      </c>
      <c r="DE26" s="21">
        <f>+DE27+DE29</f>
        <v>12910266.999999998</v>
      </c>
      <c r="DF26" s="21">
        <f>+DF29+DF27</f>
        <v>13056018.030000001</v>
      </c>
      <c r="DG26" s="21">
        <f>+DG29+DG27</f>
        <v>16446761.630000001</v>
      </c>
      <c r="DH26" s="21">
        <f t="shared" ref="DH26:DO26" si="169">+DH27+DH29</f>
        <v>13075657.57</v>
      </c>
      <c r="DI26" s="21">
        <f t="shared" si="169"/>
        <v>12926516.609999999</v>
      </c>
      <c r="DJ26" s="17">
        <f t="shared" si="169"/>
        <v>12295790.52</v>
      </c>
      <c r="DK26" s="17">
        <f t="shared" si="169"/>
        <v>10112077.509999998</v>
      </c>
      <c r="DL26" s="17">
        <f t="shared" si="169"/>
        <v>11236380.800000001</v>
      </c>
      <c r="DM26" s="17">
        <f t="shared" si="169"/>
        <v>13931688.739999998</v>
      </c>
      <c r="DN26" s="26">
        <f t="shared" si="23"/>
        <v>159960696.81</v>
      </c>
      <c r="DO26" s="48">
        <f t="shared" si="169"/>
        <v>18585019.329999998</v>
      </c>
      <c r="DP26" s="48">
        <f t="shared" ref="DP26:DQ26" si="170">+DP27+DP29</f>
        <v>13184381.26</v>
      </c>
      <c r="DQ26" s="48">
        <f t="shared" si="170"/>
        <v>20257170.210000001</v>
      </c>
      <c r="DR26" s="48">
        <f t="shared" ref="DR26:DV26" si="171">+DR27+DR29</f>
        <v>18912742.649999999</v>
      </c>
      <c r="DS26" s="48">
        <f t="shared" si="171"/>
        <v>15766054.059999999</v>
      </c>
      <c r="DT26" s="48">
        <f t="shared" si="171"/>
        <v>17445282.32</v>
      </c>
      <c r="DU26" s="48">
        <f t="shared" si="171"/>
        <v>17637986.57</v>
      </c>
      <c r="DV26" s="48">
        <f t="shared" si="171"/>
        <v>17758868.23</v>
      </c>
      <c r="DW26" s="48">
        <f t="shared" ref="DW26:DX26" si="172">+DW27+DW29</f>
        <v>12870871.609999999</v>
      </c>
      <c r="DX26" s="48">
        <f t="shared" si="172"/>
        <v>20379510.649999999</v>
      </c>
      <c r="DY26" s="48">
        <f t="shared" ref="DY26" si="173">+DY27+DY29</f>
        <v>19414156.449999999</v>
      </c>
      <c r="DZ26" s="48">
        <f>+DZ27+DZ29</f>
        <v>22527757.450000003</v>
      </c>
      <c r="EA26" s="27">
        <f t="shared" si="116"/>
        <v>214739800.78999996</v>
      </c>
      <c r="EB26" s="48">
        <f>+EB27+EB28+EB29</f>
        <v>20508011.66</v>
      </c>
      <c r="EC26" s="48">
        <f>+EC27+EC28+EC29</f>
        <v>331692285.96999997</v>
      </c>
      <c r="ED26" s="48">
        <f>+ED27+ED29</f>
        <v>21671208.84</v>
      </c>
      <c r="EE26" s="48">
        <f t="shared" ref="EE26:EM26" si="174">+EE27+EE29</f>
        <v>57309151.290000007</v>
      </c>
      <c r="EF26" s="48">
        <f t="shared" si="174"/>
        <v>20848314.509999998</v>
      </c>
      <c r="EG26" s="48">
        <f t="shared" si="174"/>
        <v>19985384.640000001</v>
      </c>
      <c r="EH26" s="48">
        <f t="shared" si="174"/>
        <v>63256615.640000008</v>
      </c>
      <c r="EI26" s="48">
        <f t="shared" si="174"/>
        <v>24122393.869999997</v>
      </c>
      <c r="EJ26" s="48">
        <f t="shared" si="174"/>
        <v>23603736.02</v>
      </c>
      <c r="EK26" s="48">
        <f t="shared" si="174"/>
        <v>63449842.560000002</v>
      </c>
      <c r="EL26" s="48">
        <f t="shared" si="174"/>
        <v>23778725.510000002</v>
      </c>
      <c r="EM26" s="48">
        <f t="shared" si="174"/>
        <v>29930666.52</v>
      </c>
      <c r="EN26" s="47">
        <f>+EN27+EN29+EN28</f>
        <v>700156337.02999997</v>
      </c>
      <c r="EO26" s="48">
        <f t="shared" ref="EO26:EZ26" si="175">+EO27+EO29+EO28</f>
        <v>72798138.379999995</v>
      </c>
      <c r="EP26" s="48">
        <f t="shared" si="175"/>
        <v>20705036.489999998</v>
      </c>
      <c r="EQ26" s="48">
        <f t="shared" si="175"/>
        <v>31117028.350000001</v>
      </c>
      <c r="ER26" s="48">
        <f t="shared" si="175"/>
        <v>65844856.480000004</v>
      </c>
      <c r="ES26" s="48">
        <f t="shared" si="175"/>
        <v>33079228.150000002</v>
      </c>
      <c r="ET26" s="48">
        <f t="shared" si="175"/>
        <v>23106736.09</v>
      </c>
      <c r="EU26" s="48">
        <f t="shared" si="175"/>
        <v>58548182.269999996</v>
      </c>
      <c r="EV26" s="48">
        <f t="shared" si="175"/>
        <v>29117641.43</v>
      </c>
      <c r="EW26" s="48">
        <f t="shared" si="175"/>
        <v>21331900.210000001</v>
      </c>
      <c r="EX26" s="48">
        <f t="shared" si="175"/>
        <v>42268330.219999999</v>
      </c>
      <c r="EY26" s="48">
        <f t="shared" si="175"/>
        <v>24716939.533</v>
      </c>
      <c r="EZ26" s="48">
        <f t="shared" si="175"/>
        <v>35447917.07</v>
      </c>
      <c r="FA26" s="47">
        <f t="shared" si="27"/>
        <v>458081934.67299992</v>
      </c>
      <c r="FB26" s="48">
        <f t="shared" ref="FB26:FC26" si="176">+FB27+FB29+FB28</f>
        <v>68331303.560000002</v>
      </c>
      <c r="FC26" s="48">
        <f t="shared" si="176"/>
        <v>32529672.16</v>
      </c>
      <c r="FD26" s="48">
        <f t="shared" ref="FD26:FU26" si="177">+FD27+FD29+FD28</f>
        <v>18335008.650000002</v>
      </c>
      <c r="FE26" s="48">
        <f t="shared" si="177"/>
        <v>2818562.3</v>
      </c>
      <c r="FF26" s="48">
        <f t="shared" si="177"/>
        <v>22614868.530000001</v>
      </c>
      <c r="FG26" s="48">
        <f t="shared" si="177"/>
        <v>1885184.56</v>
      </c>
      <c r="FH26" s="48">
        <f t="shared" si="177"/>
        <v>2317018.86</v>
      </c>
      <c r="FI26" s="48">
        <f t="shared" si="177"/>
        <v>788900.45</v>
      </c>
      <c r="FJ26" s="48">
        <f t="shared" si="177"/>
        <v>1153972.2</v>
      </c>
      <c r="FK26" s="48">
        <f t="shared" si="177"/>
        <v>15709976.540000001</v>
      </c>
      <c r="FL26" s="48">
        <f t="shared" si="177"/>
        <v>3403365.66</v>
      </c>
      <c r="FM26" s="48">
        <f t="shared" si="177"/>
        <v>25037630.029999997</v>
      </c>
      <c r="FN26" s="47">
        <f t="shared" si="28"/>
        <v>194925463.49999997</v>
      </c>
      <c r="FO26" s="48">
        <f t="shared" si="177"/>
        <v>56986306.899999999</v>
      </c>
      <c r="FP26" s="48">
        <f t="shared" si="177"/>
        <v>19718901.469999999</v>
      </c>
      <c r="FQ26" s="48">
        <f t="shared" si="177"/>
        <v>22745647.329999998</v>
      </c>
      <c r="FR26" s="48">
        <f t="shared" si="177"/>
        <v>56626007.959999993</v>
      </c>
      <c r="FS26" s="48">
        <f t="shared" si="177"/>
        <v>24903960.379999999</v>
      </c>
      <c r="FT26" s="48">
        <f t="shared" si="177"/>
        <v>21967632.129999999</v>
      </c>
      <c r="FU26" s="48">
        <f t="shared" si="177"/>
        <v>62535483.32</v>
      </c>
      <c r="FV26" s="48">
        <f>+FV27+FV29+FV28</f>
        <v>25478420.020000003</v>
      </c>
      <c r="FW26" s="48">
        <f>+FW27+FW29+FW28</f>
        <v>23475909.869999997</v>
      </c>
      <c r="FX26" s="48">
        <f>+FX27+FX29+FX28</f>
        <v>68500388.890000001</v>
      </c>
      <c r="FY26" s="48">
        <f>+FY27+FY29+FY28</f>
        <v>19817364.989999998</v>
      </c>
      <c r="FZ26" s="48">
        <f>+FZ27+FZ29+FZ28</f>
        <v>24899654.669999998</v>
      </c>
      <c r="GA26" s="68">
        <f t="shared" si="30"/>
        <v>427655677.93000001</v>
      </c>
      <c r="GB26" s="48">
        <f t="shared" ref="GB26:GC26" si="178">+GB27+GB29+GB28</f>
        <v>64731800.130000003</v>
      </c>
      <c r="GC26" s="48">
        <f t="shared" si="178"/>
        <v>23797898.310000002</v>
      </c>
      <c r="GD26" s="48">
        <f t="shared" ref="GD26:GE26" si="179">+GD27+GD29+GD28</f>
        <v>26437221.039999999</v>
      </c>
      <c r="GE26" s="48">
        <f t="shared" si="179"/>
        <v>57913682.479999997</v>
      </c>
      <c r="GF26" s="48">
        <f t="shared" ref="GF26:GG26" si="180">+GF27+GF29+GF28</f>
        <v>21932461.609999999</v>
      </c>
      <c r="GG26" s="48">
        <f t="shared" si="180"/>
        <v>21461156.760000002</v>
      </c>
      <c r="GH26" s="48">
        <f t="shared" ref="GH26:GI26" si="181">+GH27+GH29+GH28</f>
        <v>98377606.75</v>
      </c>
      <c r="GI26" s="48">
        <f t="shared" si="181"/>
        <v>23921988.91</v>
      </c>
      <c r="GJ26" s="48">
        <f t="shared" ref="GJ26:GL26" si="182">+GJ27+GJ29+GJ28</f>
        <v>16335297.359999999</v>
      </c>
      <c r="GK26" s="48">
        <f t="shared" si="182"/>
        <v>29528992.84</v>
      </c>
      <c r="GL26" s="48">
        <f t="shared" si="182"/>
        <v>18795338.100000001</v>
      </c>
      <c r="GM26" s="48">
        <f t="shared" ref="GM26:GO26" si="183">+GM27+GM29+GM28</f>
        <v>23950301.73</v>
      </c>
      <c r="GN26" s="68">
        <v>427183746.02000004</v>
      </c>
      <c r="GO26" s="48">
        <f t="shared" si="183"/>
        <v>72863849.299999997</v>
      </c>
      <c r="GP26" s="48">
        <f>+GP27+GP29+GP28</f>
        <v>22802446.18</v>
      </c>
      <c r="GQ26" s="48">
        <f>SUM(GQ27:GQ29)</f>
        <v>24267586.66</v>
      </c>
      <c r="GR26" s="80">
        <v>93154150.579999998</v>
      </c>
      <c r="GS26" s="48">
        <f t="shared" ref="GS26:GW26" si="184">SUM(GS27:GS29)</f>
        <v>25543593.289999999</v>
      </c>
      <c r="GT26" s="85">
        <f t="shared" si="184"/>
        <v>19903031.879999999</v>
      </c>
      <c r="GU26" s="85">
        <f t="shared" si="184"/>
        <v>80842280.030000001</v>
      </c>
      <c r="GV26" s="85">
        <f t="shared" si="184"/>
        <v>21329502.200000003</v>
      </c>
      <c r="GW26" s="85">
        <f t="shared" si="184"/>
        <v>10790365.41</v>
      </c>
      <c r="GX26" s="85">
        <f>SUM(GX27:GX29)</f>
        <v>78661135.149999991</v>
      </c>
      <c r="GY26" s="85">
        <f>SUM(GY27:GY29)</f>
        <v>2327691.2999999998</v>
      </c>
      <c r="GZ26" s="85">
        <f>SUM(GZ27:GZ29)</f>
        <v>2264647.4000000004</v>
      </c>
      <c r="HA26" s="68">
        <f t="shared" si="162"/>
        <v>454750279.37999994</v>
      </c>
      <c r="HB26" s="85">
        <f t="shared" ref="HB26:HG26" si="185">SUM(HB27:HB29)</f>
        <v>80377563.840000004</v>
      </c>
      <c r="HC26" s="85">
        <f t="shared" si="185"/>
        <v>1610089.6400000001</v>
      </c>
      <c r="HD26" s="85">
        <f t="shared" si="185"/>
        <v>1008471.03</v>
      </c>
      <c r="HE26" s="85">
        <f t="shared" si="185"/>
        <v>90436647.530000001</v>
      </c>
      <c r="HF26" s="85">
        <f t="shared" si="185"/>
        <v>2353725.96</v>
      </c>
      <c r="HG26" s="85">
        <f t="shared" si="185"/>
        <v>1886674.65</v>
      </c>
      <c r="HH26" s="85">
        <f t="shared" ref="HH26:HM26" si="186">SUM(HH27:HH29)</f>
        <v>120294898.89999999</v>
      </c>
      <c r="HI26" s="85">
        <f t="shared" si="186"/>
        <v>1619728.6400000001</v>
      </c>
      <c r="HJ26" s="85">
        <f t="shared" si="186"/>
        <v>1228706</v>
      </c>
      <c r="HK26" s="85">
        <f t="shared" si="186"/>
        <v>116580030.06999999</v>
      </c>
      <c r="HL26" s="85">
        <f t="shared" si="186"/>
        <v>1554176.31</v>
      </c>
      <c r="HM26" s="85">
        <f t="shared" si="186"/>
        <v>1333456.26</v>
      </c>
      <c r="HN26" s="68">
        <f t="shared" si="138"/>
        <v>420284168.82999998</v>
      </c>
      <c r="HO26" s="85">
        <f t="shared" ref="HO26:HS26" si="187">SUM(HO27:HO29)</f>
        <v>124800944.32000001</v>
      </c>
      <c r="HP26" s="85">
        <f t="shared" si="187"/>
        <v>2514020.52</v>
      </c>
      <c r="HQ26" s="85">
        <f t="shared" si="187"/>
        <v>3057427.03</v>
      </c>
      <c r="HR26" s="85">
        <f t="shared" si="187"/>
        <v>112004603.71999998</v>
      </c>
      <c r="HS26" s="85">
        <f t="shared" si="187"/>
        <v>2720391.96</v>
      </c>
      <c r="HT26" s="85">
        <f t="shared" ref="HT26:IE26" si="188">SUM(HT27:HT29)</f>
        <v>2528064.1799999997</v>
      </c>
      <c r="HU26" s="85">
        <f t="shared" si="188"/>
        <v>127783891.05</v>
      </c>
      <c r="HV26" s="85">
        <f t="shared" si="188"/>
        <v>2708715.34</v>
      </c>
      <c r="HW26" s="85">
        <f t="shared" si="188"/>
        <v>3074522.09</v>
      </c>
      <c r="HX26" s="85">
        <f t="shared" si="188"/>
        <v>107412595.36999999</v>
      </c>
      <c r="HY26" s="85">
        <f t="shared" si="188"/>
        <v>3032757.2199999997</v>
      </c>
      <c r="HZ26" s="85">
        <f t="shared" si="188"/>
        <v>2842778.4</v>
      </c>
      <c r="IA26" s="68">
        <f t="shared" si="166"/>
        <v>494480711.19999993</v>
      </c>
      <c r="IB26" s="85">
        <f t="shared" si="188"/>
        <v>130698728.03</v>
      </c>
      <c r="IC26" s="85">
        <f t="shared" si="188"/>
        <v>4187174.59</v>
      </c>
      <c r="ID26" s="85">
        <f t="shared" si="188"/>
        <v>7679655.6500000004</v>
      </c>
      <c r="IE26" s="85">
        <f t="shared" si="188"/>
        <v>147917788.90000001</v>
      </c>
      <c r="IF26" s="85">
        <f>SUM(IF27:IF29)</f>
        <v>6325189.4800000004</v>
      </c>
      <c r="IG26" s="85">
        <f>SUM(IG27:IG29)</f>
        <v>5299898.3100000005</v>
      </c>
      <c r="IH26" s="85">
        <f>SUM(IH27:IH29)</f>
        <v>147640055.40000001</v>
      </c>
      <c r="II26" s="85">
        <f>SUM(II27:II29)</f>
        <v>5988389.8499999996</v>
      </c>
      <c r="IJ26" s="68">
        <f t="shared" si="168"/>
        <v>455736880.21000004</v>
      </c>
    </row>
    <row r="27" spans="1:244" s="11" customFormat="1" ht="18.75" x14ac:dyDescent="0.3">
      <c r="A27" s="9" t="s">
        <v>34</v>
      </c>
      <c r="B27" s="18">
        <v>8675840</v>
      </c>
      <c r="C27" s="19">
        <v>6172621.7999999998</v>
      </c>
      <c r="D27" s="19">
        <v>5688542.4699999997</v>
      </c>
      <c r="E27" s="19">
        <v>5122243.93</v>
      </c>
      <c r="F27" s="19">
        <v>4891519.55</v>
      </c>
      <c r="G27" s="19">
        <v>5044335.3</v>
      </c>
      <c r="H27" s="19">
        <v>6459888.1299999999</v>
      </c>
      <c r="I27" s="19">
        <v>6281083.8399999999</v>
      </c>
      <c r="J27" s="19">
        <v>4560166.16</v>
      </c>
      <c r="K27" s="19">
        <v>5980490.7999999998</v>
      </c>
      <c r="L27" s="19">
        <v>5678258.4000000004</v>
      </c>
      <c r="M27" s="19">
        <v>5914697.54</v>
      </c>
      <c r="N27" s="26">
        <f t="shared" si="15"/>
        <v>70469687.919999987</v>
      </c>
      <c r="O27" s="19">
        <v>8032331.29</v>
      </c>
      <c r="P27" s="19">
        <v>5716842.5300000003</v>
      </c>
      <c r="Q27" s="19">
        <v>6689840.9800000004</v>
      </c>
      <c r="R27" s="19">
        <v>6364331.2699999996</v>
      </c>
      <c r="S27" s="19">
        <v>6174372.7999999998</v>
      </c>
      <c r="T27" s="19">
        <v>5924880</v>
      </c>
      <c r="U27" s="19">
        <v>7223378.2000000002</v>
      </c>
      <c r="V27" s="19">
        <v>7815650</v>
      </c>
      <c r="W27" s="19">
        <v>6882765</v>
      </c>
      <c r="X27" s="19">
        <v>6086451.2000000002</v>
      </c>
      <c r="Y27" s="19">
        <v>5536903.5999999996</v>
      </c>
      <c r="Z27" s="19">
        <v>7255865.5999999996</v>
      </c>
      <c r="AA27" s="26">
        <f t="shared" si="143"/>
        <v>79703612.469999999</v>
      </c>
      <c r="AB27" s="19">
        <v>14337030.4</v>
      </c>
      <c r="AC27" s="19">
        <v>12829424.4</v>
      </c>
      <c r="AD27" s="19">
        <v>8394796.8000000007</v>
      </c>
      <c r="AE27" s="19">
        <v>7042310</v>
      </c>
      <c r="AF27" s="19">
        <v>6669291.2000000002</v>
      </c>
      <c r="AG27" s="19">
        <v>6538192.2000000002</v>
      </c>
      <c r="AH27" s="19">
        <v>6698883.2000000002</v>
      </c>
      <c r="AI27" s="19">
        <v>8031268.7999999998</v>
      </c>
      <c r="AJ27" s="19">
        <v>9360916.4000000004</v>
      </c>
      <c r="AK27" s="19">
        <v>7559428.7999999998</v>
      </c>
      <c r="AL27" s="19">
        <v>5830664.4000000004</v>
      </c>
      <c r="AM27" s="19">
        <v>8503233.8000000007</v>
      </c>
      <c r="AN27" s="26">
        <v>101795440.40000002</v>
      </c>
      <c r="AO27" s="19">
        <v>9654537.1999999993</v>
      </c>
      <c r="AP27" s="19">
        <v>8906446.4000000004</v>
      </c>
      <c r="AQ27" s="19">
        <v>10476880</v>
      </c>
      <c r="AR27" s="19">
        <v>9255180</v>
      </c>
      <c r="AS27" s="19">
        <v>9004112</v>
      </c>
      <c r="AT27" s="19">
        <v>9215628</v>
      </c>
      <c r="AU27" s="19">
        <v>10008787.199999999</v>
      </c>
      <c r="AV27" s="19">
        <v>10426267.199999999</v>
      </c>
      <c r="AW27" s="19">
        <v>8024100</v>
      </c>
      <c r="AX27" s="19">
        <v>6943435.2000000002</v>
      </c>
      <c r="AY27" s="19">
        <v>7234488.5999999996</v>
      </c>
      <c r="AZ27" s="19">
        <v>11937926.4</v>
      </c>
      <c r="BA27" s="26">
        <f t="shared" si="17"/>
        <v>111087788.2</v>
      </c>
      <c r="BB27" s="19">
        <v>14104574</v>
      </c>
      <c r="BC27" s="19">
        <v>11666980</v>
      </c>
      <c r="BD27" s="19">
        <v>9302529.5999999996</v>
      </c>
      <c r="BE27" s="19">
        <v>10086548</v>
      </c>
      <c r="BF27" s="19">
        <v>9275275.1999999993</v>
      </c>
      <c r="BG27" s="19">
        <v>8536434</v>
      </c>
      <c r="BH27" s="19">
        <v>10686384</v>
      </c>
      <c r="BI27" s="19">
        <v>9909281.1999999993</v>
      </c>
      <c r="BJ27" s="19">
        <v>11064643.800000001</v>
      </c>
      <c r="BK27" s="19">
        <v>11053325.6</v>
      </c>
      <c r="BL27" s="19">
        <v>12271010.199999999</v>
      </c>
      <c r="BM27" s="19">
        <v>15658860.800000001</v>
      </c>
      <c r="BN27" s="26">
        <f t="shared" si="18"/>
        <v>133615846.39999999</v>
      </c>
      <c r="BO27" s="19">
        <v>19388127.600000001</v>
      </c>
      <c r="BP27" s="19">
        <v>14047932.6</v>
      </c>
      <c r="BQ27" s="19">
        <v>15810894.6</v>
      </c>
      <c r="BR27" s="19">
        <v>15756529.199999999</v>
      </c>
      <c r="BS27" s="19">
        <v>15913373.800000001</v>
      </c>
      <c r="BT27" s="19">
        <v>14318607.199999999</v>
      </c>
      <c r="BU27" s="19">
        <v>17539997</v>
      </c>
      <c r="BV27" s="19">
        <v>16514001</v>
      </c>
      <c r="BW27" s="19">
        <v>15289067.800000001</v>
      </c>
      <c r="BX27" s="19">
        <v>12911451.4</v>
      </c>
      <c r="BY27" s="19">
        <v>11305793.199999999</v>
      </c>
      <c r="BZ27" s="19">
        <v>13769340.6</v>
      </c>
      <c r="CA27" s="26">
        <f t="shared" si="19"/>
        <v>182565116</v>
      </c>
      <c r="CB27" s="19">
        <v>17477056.399999999</v>
      </c>
      <c r="CC27" s="19">
        <v>12269515.199999999</v>
      </c>
      <c r="CD27" s="19">
        <v>14210114</v>
      </c>
      <c r="CE27" s="19">
        <v>12874351.6</v>
      </c>
      <c r="CF27" s="19">
        <v>13864559.6</v>
      </c>
      <c r="CG27" s="19">
        <v>11751601.800000001</v>
      </c>
      <c r="CH27" s="19">
        <v>14451762.6</v>
      </c>
      <c r="CI27" s="19">
        <v>13973819.199999999</v>
      </c>
      <c r="CJ27" s="19">
        <v>12641916.800000001</v>
      </c>
      <c r="CK27" s="19">
        <v>12305482.4</v>
      </c>
      <c r="CL27" s="19">
        <v>12094557</v>
      </c>
      <c r="CM27" s="19">
        <v>15269734.199999999</v>
      </c>
      <c r="CN27" s="26">
        <f t="shared" si="20"/>
        <v>163184470.79999998</v>
      </c>
      <c r="CO27" s="19">
        <v>16977856.199999999</v>
      </c>
      <c r="CP27" s="19">
        <v>12583484.4</v>
      </c>
      <c r="CQ27" s="19">
        <v>10043730.6</v>
      </c>
      <c r="CR27" s="19">
        <v>12273065</v>
      </c>
      <c r="CS27" s="19">
        <v>12329628</v>
      </c>
      <c r="CT27" s="19">
        <v>11752803.4</v>
      </c>
      <c r="CU27" s="19">
        <v>12139866.800000001</v>
      </c>
      <c r="CV27" s="19">
        <v>10843196.199999999</v>
      </c>
      <c r="CW27" s="19">
        <v>10771520.000000004</v>
      </c>
      <c r="CX27" s="19">
        <v>8199999.9999999991</v>
      </c>
      <c r="CY27" s="19">
        <v>8920969</v>
      </c>
      <c r="CZ27" s="19">
        <v>10791708.6</v>
      </c>
      <c r="DA27" s="26">
        <f t="shared" si="21"/>
        <v>137627828.20000002</v>
      </c>
      <c r="DB27" s="19">
        <v>11758317.6</v>
      </c>
      <c r="DC27" s="19">
        <v>8244132.5999999996</v>
      </c>
      <c r="DD27" s="19">
        <v>9724116.5999999996</v>
      </c>
      <c r="DE27" s="19">
        <v>9335722.3999999985</v>
      </c>
      <c r="DF27" s="19">
        <v>9057840.2000000011</v>
      </c>
      <c r="DG27" s="19">
        <v>8261417.4000000004</v>
      </c>
      <c r="DH27" s="19">
        <v>9452622</v>
      </c>
      <c r="DI27" s="19">
        <v>9519917.5999999996</v>
      </c>
      <c r="DJ27" s="19">
        <v>8323011.2000000002</v>
      </c>
      <c r="DK27" s="19">
        <v>7267851.9999999991</v>
      </c>
      <c r="DL27" s="19">
        <v>9188192.8000000007</v>
      </c>
      <c r="DM27" s="19">
        <v>11768077.199999999</v>
      </c>
      <c r="DN27" s="26">
        <f t="shared" si="23"/>
        <v>111901219.59999999</v>
      </c>
      <c r="DO27" s="49">
        <v>15935222.999999998</v>
      </c>
      <c r="DP27" s="49">
        <v>10620216.4</v>
      </c>
      <c r="DQ27" s="49">
        <v>11701319.4</v>
      </c>
      <c r="DR27" s="49">
        <v>12826316.800000001</v>
      </c>
      <c r="DS27" s="49">
        <v>11824091.6</v>
      </c>
      <c r="DT27" s="49">
        <v>12095699.199999999</v>
      </c>
      <c r="DU27" s="49">
        <v>14217383</v>
      </c>
      <c r="DV27" s="49">
        <v>15451186.4</v>
      </c>
      <c r="DW27" s="49">
        <v>11743936.4</v>
      </c>
      <c r="DX27" s="49">
        <v>14830782.800000001</v>
      </c>
      <c r="DY27" s="53">
        <v>14995267.399999999</v>
      </c>
      <c r="DZ27" s="53">
        <v>17562825.800000001</v>
      </c>
      <c r="EA27" s="27">
        <f t="shared" si="116"/>
        <v>163804248.20000002</v>
      </c>
      <c r="EB27" s="49">
        <v>18069224.199999999</v>
      </c>
      <c r="EC27" s="49">
        <v>17029024.199999999</v>
      </c>
      <c r="ED27" s="49">
        <v>16723101.199999999</v>
      </c>
      <c r="EE27" s="49">
        <v>17276692</v>
      </c>
      <c r="EF27" s="49">
        <v>18691553.399999999</v>
      </c>
      <c r="EG27" s="49">
        <v>17887489.399999999</v>
      </c>
      <c r="EH27" s="49">
        <v>19800582.800000004</v>
      </c>
      <c r="EI27" s="49">
        <v>21122210.399999999</v>
      </c>
      <c r="EJ27" s="49">
        <v>20606074.399999999</v>
      </c>
      <c r="EK27" s="49">
        <v>23318698</v>
      </c>
      <c r="EL27" s="49">
        <v>19550083.800000001</v>
      </c>
      <c r="EM27" s="49">
        <v>26476482.800000001</v>
      </c>
      <c r="EN27" s="63">
        <f>SUM(EB27:EM27)</f>
        <v>236551216.60000005</v>
      </c>
      <c r="EO27" s="49">
        <v>44211819.399999999</v>
      </c>
      <c r="EP27" s="49">
        <v>19000641.199999999</v>
      </c>
      <c r="EQ27" s="49">
        <v>27893936.800000001</v>
      </c>
      <c r="ER27" s="49">
        <v>30774252.199999999</v>
      </c>
      <c r="ES27" s="49">
        <v>28781205.199999999</v>
      </c>
      <c r="ET27" s="49">
        <v>20514457.800000001</v>
      </c>
      <c r="EU27" s="49">
        <v>28073275.199999999</v>
      </c>
      <c r="EV27" s="49">
        <v>26946389.399999999</v>
      </c>
      <c r="EW27" s="49">
        <v>19205911.199999999</v>
      </c>
      <c r="EX27" s="49">
        <v>16919677.399999999</v>
      </c>
      <c r="EY27" s="49">
        <v>19687306.199999999</v>
      </c>
      <c r="EZ27" s="49">
        <v>31932825.199999999</v>
      </c>
      <c r="FA27" s="63">
        <f t="shared" si="27"/>
        <v>313941697.19999999</v>
      </c>
      <c r="FB27" s="49">
        <v>41457428.799999997</v>
      </c>
      <c r="FC27" s="49">
        <v>30970704.800000001</v>
      </c>
      <c r="FD27" s="49">
        <v>16136043.800000001</v>
      </c>
      <c r="FE27" s="49">
        <v>0</v>
      </c>
      <c r="FF27" s="49">
        <v>21895.8</v>
      </c>
      <c r="FG27" s="49">
        <v>49585.8</v>
      </c>
      <c r="FH27" s="49">
        <v>27960.6</v>
      </c>
      <c r="FI27" s="49">
        <v>3499.2</v>
      </c>
      <c r="FJ27" s="49">
        <v>87522.8</v>
      </c>
      <c r="FK27" s="49">
        <v>129521.2</v>
      </c>
      <c r="FL27" s="49">
        <v>1206896.8</v>
      </c>
      <c r="FM27" s="49">
        <v>22515772.399999999</v>
      </c>
      <c r="FN27" s="63">
        <f t="shared" si="28"/>
        <v>112606831.99999997</v>
      </c>
      <c r="FO27" s="49">
        <v>32886285.399999999</v>
      </c>
      <c r="FP27" s="49">
        <v>18667215.399999999</v>
      </c>
      <c r="FQ27" s="49">
        <v>21414029.399999999</v>
      </c>
      <c r="FR27" s="49">
        <v>21036227.399999999</v>
      </c>
      <c r="FS27" s="49">
        <v>24277931.199999999</v>
      </c>
      <c r="FT27" s="49">
        <v>20852143.399999999</v>
      </c>
      <c r="FU27" s="49">
        <v>17092636.399999999</v>
      </c>
      <c r="FV27" s="49">
        <v>24653992.600000001</v>
      </c>
      <c r="FW27" s="49">
        <v>22167579.399999999</v>
      </c>
      <c r="FX27" s="49">
        <v>20942853.600000001</v>
      </c>
      <c r="FY27" s="49">
        <v>18181822.399999999</v>
      </c>
      <c r="FZ27" s="49">
        <v>23933161.199999999</v>
      </c>
      <c r="GA27" s="68">
        <f t="shared" si="30"/>
        <v>266105877.79999998</v>
      </c>
      <c r="GB27" s="49">
        <v>25496869.399999999</v>
      </c>
      <c r="GC27" s="49">
        <v>22440592.800000001</v>
      </c>
      <c r="GD27" s="49">
        <v>24413682.399999999</v>
      </c>
      <c r="GE27" s="49">
        <v>24537491.399999999</v>
      </c>
      <c r="GF27" s="49">
        <v>19421119</v>
      </c>
      <c r="GG27" s="49">
        <v>20455233</v>
      </c>
      <c r="GH27" s="49">
        <v>23212462.600000001</v>
      </c>
      <c r="GI27" s="49">
        <v>22633188.399999999</v>
      </c>
      <c r="GJ27" s="49">
        <v>14707852.199999999</v>
      </c>
      <c r="GK27" s="49">
        <v>16129362.800000001</v>
      </c>
      <c r="GL27" s="49">
        <v>16859264</v>
      </c>
      <c r="GM27" s="49">
        <v>22797075</v>
      </c>
      <c r="GN27" s="68">
        <v>253104193</v>
      </c>
      <c r="GO27" s="49">
        <v>30438039.399999999</v>
      </c>
      <c r="GP27" s="49">
        <v>21316158.399999999</v>
      </c>
      <c r="GQ27" s="49">
        <v>23099955.600000001</v>
      </c>
      <c r="GR27" s="81">
        <v>23333330</v>
      </c>
      <c r="GS27" s="49">
        <v>23424603.199999999</v>
      </c>
      <c r="GT27" s="86">
        <v>18174158.199999999</v>
      </c>
      <c r="GU27" s="86">
        <v>20487344.800000001</v>
      </c>
      <c r="GV27" s="86">
        <v>19885457.600000001</v>
      </c>
      <c r="GW27" s="86">
        <v>9836918.4000000004</v>
      </c>
      <c r="GX27" s="86">
        <v>0</v>
      </c>
      <c r="GY27" s="86">
        <v>10213.6</v>
      </c>
      <c r="GZ27" s="86">
        <v>702468.8</v>
      </c>
      <c r="HA27" s="68">
        <f t="shared" si="162"/>
        <v>190708648.00000003</v>
      </c>
      <c r="HB27" s="86">
        <v>517630.2</v>
      </c>
      <c r="HC27" s="86">
        <v>514922.8</v>
      </c>
      <c r="HD27" s="86">
        <v>398029.8</v>
      </c>
      <c r="HE27" s="86">
        <v>642178</v>
      </c>
      <c r="HF27" s="86">
        <v>578272.4</v>
      </c>
      <c r="HG27" s="86">
        <v>467109.4</v>
      </c>
      <c r="HH27" s="86">
        <v>531903.6</v>
      </c>
      <c r="HI27" s="86">
        <v>449485.4</v>
      </c>
      <c r="HJ27" s="86">
        <v>384992.6</v>
      </c>
      <c r="HK27" s="86">
        <v>425815.6</v>
      </c>
      <c r="HL27" s="86">
        <v>607977.80000000005</v>
      </c>
      <c r="HM27" s="86">
        <v>963475.4</v>
      </c>
      <c r="HN27" s="68">
        <f t="shared" si="138"/>
        <v>6481793</v>
      </c>
      <c r="HO27" s="86">
        <v>2761767.2</v>
      </c>
      <c r="HP27" s="86">
        <v>1528834.6</v>
      </c>
      <c r="HQ27" s="86">
        <v>1707519.4</v>
      </c>
      <c r="HR27" s="86">
        <v>1618237.6</v>
      </c>
      <c r="HS27" s="86">
        <v>1595009.8</v>
      </c>
      <c r="HT27" s="86">
        <v>1582332.4</v>
      </c>
      <c r="HU27" s="86">
        <v>2053009.2</v>
      </c>
      <c r="HV27" s="86">
        <v>1965133.8</v>
      </c>
      <c r="HW27" s="86">
        <v>1834422.6</v>
      </c>
      <c r="HX27" s="86">
        <v>1739239.6</v>
      </c>
      <c r="HY27" s="86">
        <v>1714530.2</v>
      </c>
      <c r="HZ27" s="86">
        <v>2067495</v>
      </c>
      <c r="IA27" s="68">
        <f t="shared" si="166"/>
        <v>22167531.400000002</v>
      </c>
      <c r="IB27" s="86">
        <v>4665930.8</v>
      </c>
      <c r="IC27" s="86">
        <v>2484416.2000000002</v>
      </c>
      <c r="ID27" s="86">
        <v>2841183.4</v>
      </c>
      <c r="IE27" s="86">
        <v>3703391.8</v>
      </c>
      <c r="IF27" s="86">
        <v>3017711.6</v>
      </c>
      <c r="IG27" s="86">
        <v>3023854.4</v>
      </c>
      <c r="IH27" s="86">
        <v>3867995</v>
      </c>
      <c r="II27" s="86">
        <v>4279604.8</v>
      </c>
      <c r="IJ27" s="68">
        <f t="shared" si="168"/>
        <v>27884088</v>
      </c>
    </row>
    <row r="28" spans="1:244" s="11" customFormat="1" ht="18.75" x14ac:dyDescent="0.3">
      <c r="A28" s="9" t="s">
        <v>44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26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26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26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26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26">
        <v>0</v>
      </c>
      <c r="BO28" s="19">
        <v>0</v>
      </c>
      <c r="BP28" s="19">
        <v>0</v>
      </c>
      <c r="BQ28" s="19">
        <v>0</v>
      </c>
      <c r="BR28" s="19">
        <v>0</v>
      </c>
      <c r="BS28" s="19">
        <v>0</v>
      </c>
      <c r="BT28" s="19">
        <v>0</v>
      </c>
      <c r="BU28" s="19">
        <v>0</v>
      </c>
      <c r="BV28" s="19">
        <v>0</v>
      </c>
      <c r="BW28" s="19">
        <v>0</v>
      </c>
      <c r="BX28" s="19">
        <v>0</v>
      </c>
      <c r="BY28" s="19">
        <v>0</v>
      </c>
      <c r="BZ28" s="19">
        <v>0</v>
      </c>
      <c r="CA28" s="26">
        <v>0</v>
      </c>
      <c r="CB28" s="19">
        <v>0</v>
      </c>
      <c r="CC28" s="19">
        <v>0</v>
      </c>
      <c r="CD28" s="19">
        <v>0</v>
      </c>
      <c r="CE28" s="19">
        <v>0</v>
      </c>
      <c r="CF28" s="19">
        <v>0</v>
      </c>
      <c r="CG28" s="19">
        <v>0</v>
      </c>
      <c r="CH28" s="19">
        <v>0</v>
      </c>
      <c r="CI28" s="19">
        <v>0</v>
      </c>
      <c r="CJ28" s="19">
        <v>0</v>
      </c>
      <c r="CK28" s="19">
        <v>0</v>
      </c>
      <c r="CL28" s="19">
        <v>0</v>
      </c>
      <c r="CM28" s="19">
        <v>0</v>
      </c>
      <c r="CN28" s="26">
        <f t="shared" si="20"/>
        <v>0</v>
      </c>
      <c r="CO28" s="19">
        <v>0</v>
      </c>
      <c r="CP28" s="19">
        <v>0</v>
      </c>
      <c r="CQ28" s="19">
        <v>0</v>
      </c>
      <c r="CR28" s="19">
        <v>0</v>
      </c>
      <c r="CS28" s="19">
        <v>0</v>
      </c>
      <c r="CT28" s="19">
        <v>0</v>
      </c>
      <c r="CU28" s="19">
        <v>0</v>
      </c>
      <c r="CV28" s="19">
        <v>0</v>
      </c>
      <c r="CW28" s="19">
        <v>0</v>
      </c>
      <c r="CX28" s="19">
        <v>0</v>
      </c>
      <c r="CY28" s="19">
        <v>0</v>
      </c>
      <c r="CZ28" s="19">
        <v>0</v>
      </c>
      <c r="DA28" s="26">
        <v>0</v>
      </c>
      <c r="DB28" s="19">
        <v>0</v>
      </c>
      <c r="DC28" s="19">
        <v>0</v>
      </c>
      <c r="DD28" s="19">
        <v>0</v>
      </c>
      <c r="DE28" s="19">
        <v>0</v>
      </c>
      <c r="DF28" s="19">
        <v>0</v>
      </c>
      <c r="DG28" s="19">
        <v>0</v>
      </c>
      <c r="DH28" s="19">
        <v>0</v>
      </c>
      <c r="DI28" s="19">
        <v>0</v>
      </c>
      <c r="DJ28" s="19">
        <v>0</v>
      </c>
      <c r="DK28" s="19">
        <v>0</v>
      </c>
      <c r="DL28" s="19">
        <v>0</v>
      </c>
      <c r="DM28" s="19">
        <v>0</v>
      </c>
      <c r="DN28" s="26">
        <v>0</v>
      </c>
      <c r="DO28" s="19">
        <v>0</v>
      </c>
      <c r="DP28" s="19">
        <v>0</v>
      </c>
      <c r="DQ28" s="19">
        <v>0</v>
      </c>
      <c r="DR28" s="19">
        <v>0</v>
      </c>
      <c r="DS28" s="19">
        <v>0</v>
      </c>
      <c r="DT28" s="19">
        <v>0</v>
      </c>
      <c r="DU28" s="19">
        <v>0</v>
      </c>
      <c r="DV28" s="19">
        <v>0</v>
      </c>
      <c r="DW28" s="19">
        <v>0</v>
      </c>
      <c r="DX28" s="19">
        <v>0</v>
      </c>
      <c r="DY28" s="19">
        <v>0</v>
      </c>
      <c r="DZ28" s="19">
        <v>0</v>
      </c>
      <c r="EA28" s="27">
        <v>0</v>
      </c>
      <c r="EB28" s="19">
        <v>0</v>
      </c>
      <c r="EC28" s="19">
        <v>309834273.07999998</v>
      </c>
      <c r="ED28" s="19">
        <v>0</v>
      </c>
      <c r="EE28" s="19">
        <v>0</v>
      </c>
      <c r="EF28" s="19">
        <v>0</v>
      </c>
      <c r="EG28" s="19">
        <v>0</v>
      </c>
      <c r="EH28" s="19">
        <v>0</v>
      </c>
      <c r="EI28" s="19">
        <v>0</v>
      </c>
      <c r="EJ28" s="19">
        <v>0</v>
      </c>
      <c r="EK28" s="19">
        <v>0</v>
      </c>
      <c r="EL28" s="19">
        <v>0</v>
      </c>
      <c r="EM28" s="19">
        <v>0</v>
      </c>
      <c r="EN28" s="63">
        <f>SUM(EB28:EM28)</f>
        <v>309834273.07999998</v>
      </c>
      <c r="EO28" s="49">
        <v>25150812.859999999</v>
      </c>
      <c r="EP28" s="49">
        <v>0</v>
      </c>
      <c r="EQ28" s="49">
        <v>0</v>
      </c>
      <c r="ER28" s="49">
        <v>31727154.530000001</v>
      </c>
      <c r="ES28" s="49">
        <v>774161.85</v>
      </c>
      <c r="ET28" s="49">
        <v>0</v>
      </c>
      <c r="EU28" s="49">
        <v>28008409.219999999</v>
      </c>
      <c r="EV28" s="49">
        <v>0</v>
      </c>
      <c r="EW28" s="49">
        <v>0</v>
      </c>
      <c r="EX28" s="49">
        <v>20181816.199999999</v>
      </c>
      <c r="EY28" s="49">
        <v>0</v>
      </c>
      <c r="EZ28" s="49">
        <v>0</v>
      </c>
      <c r="FA28" s="64">
        <f>+SUM(EO28:EZ28)</f>
        <v>105842354.66000001</v>
      </c>
      <c r="FB28" s="49">
        <v>22841821.93</v>
      </c>
      <c r="FC28" s="49">
        <v>0</v>
      </c>
      <c r="FD28" s="49">
        <v>0</v>
      </c>
      <c r="FE28" s="49">
        <v>0</v>
      </c>
      <c r="FF28" s="49">
        <v>20578644.18</v>
      </c>
      <c r="FG28" s="49">
        <v>0</v>
      </c>
      <c r="FH28" s="49">
        <v>576739.83999999997</v>
      </c>
      <c r="FI28" s="49">
        <v>0</v>
      </c>
      <c r="FJ28" s="49">
        <v>0</v>
      </c>
      <c r="FK28" s="49">
        <v>14612032.82</v>
      </c>
      <c r="FL28" s="49">
        <v>1128690.77</v>
      </c>
      <c r="FM28" s="49">
        <v>0</v>
      </c>
      <c r="FN28" s="64">
        <f t="shared" si="28"/>
        <v>59737929.540000007</v>
      </c>
      <c r="FO28" s="49">
        <v>23343653.850000001</v>
      </c>
      <c r="FP28" s="49">
        <v>0</v>
      </c>
      <c r="FQ28" s="49">
        <v>0</v>
      </c>
      <c r="FR28" s="49">
        <v>34617547.07</v>
      </c>
      <c r="FS28" s="49">
        <v>0</v>
      </c>
      <c r="FT28" s="49">
        <v>0</v>
      </c>
      <c r="FU28" s="49">
        <v>44513912.5</v>
      </c>
      <c r="FV28" s="49">
        <v>0</v>
      </c>
      <c r="FW28" s="49">
        <v>0</v>
      </c>
      <c r="FX28" s="49">
        <v>46940346.479999997</v>
      </c>
      <c r="FY28" s="49">
        <v>0</v>
      </c>
      <c r="FZ28" s="49">
        <v>0</v>
      </c>
      <c r="GA28" s="68">
        <f t="shared" si="30"/>
        <v>149415459.90000001</v>
      </c>
      <c r="GB28" s="49">
        <v>37968122.310000002</v>
      </c>
      <c r="GC28" s="49">
        <v>0</v>
      </c>
      <c r="GD28" s="49">
        <v>0</v>
      </c>
      <c r="GE28" s="49">
        <v>32484211.949999999</v>
      </c>
      <c r="GF28" s="49">
        <v>0</v>
      </c>
      <c r="GG28" s="49">
        <v>0</v>
      </c>
      <c r="GH28" s="49">
        <v>72999104.579999998</v>
      </c>
      <c r="GI28" s="49">
        <v>0</v>
      </c>
      <c r="GJ28" s="49">
        <v>0</v>
      </c>
      <c r="GK28" s="49">
        <v>11778372.640000001</v>
      </c>
      <c r="GL28" s="49">
        <v>0</v>
      </c>
      <c r="GM28" s="49">
        <v>0</v>
      </c>
      <c r="GN28" s="68">
        <v>155229811.48000002</v>
      </c>
      <c r="GO28" s="49">
        <v>40992627.57</v>
      </c>
      <c r="GP28" s="49">
        <v>0</v>
      </c>
      <c r="GQ28" s="49">
        <v>0</v>
      </c>
      <c r="GR28" s="81">
        <v>68653750.879999995</v>
      </c>
      <c r="GS28" s="49">
        <v>0</v>
      </c>
      <c r="GT28" s="86">
        <v>0</v>
      </c>
      <c r="GU28" s="86">
        <v>59686519.18</v>
      </c>
      <c r="GV28" s="86">
        <v>0</v>
      </c>
      <c r="GW28" s="86">
        <v>0</v>
      </c>
      <c r="GX28" s="86">
        <v>77133577.319999993</v>
      </c>
      <c r="GY28" s="86">
        <v>719046.88</v>
      </c>
      <c r="GZ28" s="86">
        <v>0</v>
      </c>
      <c r="HA28" s="68">
        <f t="shared" si="162"/>
        <v>247185521.82999998</v>
      </c>
      <c r="HB28" s="86">
        <v>79006842.180000007</v>
      </c>
      <c r="HC28" s="86">
        <v>0</v>
      </c>
      <c r="HD28" s="86">
        <v>0</v>
      </c>
      <c r="HE28" s="86">
        <v>87284282.140000001</v>
      </c>
      <c r="HF28" s="86">
        <v>0</v>
      </c>
      <c r="HG28" s="86">
        <v>0</v>
      </c>
      <c r="HH28" s="86">
        <v>118962950.06</v>
      </c>
      <c r="HI28" s="86">
        <v>0</v>
      </c>
      <c r="HJ28" s="86">
        <v>0</v>
      </c>
      <c r="HK28" s="86">
        <v>114673069.81</v>
      </c>
      <c r="HL28" s="86">
        <v>0</v>
      </c>
      <c r="HM28" s="86">
        <v>45216.95</v>
      </c>
      <c r="HN28" s="68">
        <f t="shared" si="138"/>
        <v>399972361.13999999</v>
      </c>
      <c r="HO28" s="86">
        <v>121256038.01000001</v>
      </c>
      <c r="HP28" s="86">
        <v>0</v>
      </c>
      <c r="HQ28" s="86">
        <v>0</v>
      </c>
      <c r="HR28" s="86">
        <v>109296142.98999999</v>
      </c>
      <c r="HS28" s="86">
        <v>0</v>
      </c>
      <c r="HT28" s="86">
        <v>0</v>
      </c>
      <c r="HU28" s="86">
        <v>125317135.77</v>
      </c>
      <c r="HV28" s="86">
        <v>0</v>
      </c>
      <c r="HW28" s="86">
        <v>0</v>
      </c>
      <c r="HX28" s="86">
        <v>104301567.8</v>
      </c>
      <c r="HY28" s="86">
        <v>0</v>
      </c>
      <c r="HZ28" s="86">
        <v>0</v>
      </c>
      <c r="IA28" s="68">
        <f t="shared" si="166"/>
        <v>460170884.56999999</v>
      </c>
      <c r="IB28" s="86">
        <v>125358494.17</v>
      </c>
      <c r="IC28" s="86">
        <v>799688.3</v>
      </c>
      <c r="ID28" s="86">
        <v>2879640.42</v>
      </c>
      <c r="IE28" s="86">
        <v>141783654.90000001</v>
      </c>
      <c r="IF28" s="86">
        <v>0</v>
      </c>
      <c r="IG28" s="86">
        <v>0</v>
      </c>
      <c r="IH28" s="86">
        <v>141286991.37</v>
      </c>
      <c r="II28" s="86"/>
      <c r="IJ28" s="68">
        <f t="shared" si="168"/>
        <v>412108469.16000003</v>
      </c>
    </row>
    <row r="29" spans="1:244" s="11" customFormat="1" ht="18.75" x14ac:dyDescent="0.3">
      <c r="A29" s="10" t="s">
        <v>45</v>
      </c>
      <c r="B29" s="18">
        <v>1661888.76</v>
      </c>
      <c r="C29" s="19">
        <v>1726498.6</v>
      </c>
      <c r="D29" s="19">
        <v>2375556.96</v>
      </c>
      <c r="E29" s="19">
        <v>3355162.61</v>
      </c>
      <c r="F29" s="19">
        <v>3901676.97</v>
      </c>
      <c r="G29" s="19">
        <v>3001064.81</v>
      </c>
      <c r="H29" s="19">
        <v>2001575.94</v>
      </c>
      <c r="I29" s="19">
        <v>4013145.84</v>
      </c>
      <c r="J29" s="19">
        <v>3006455.49</v>
      </c>
      <c r="K29" s="19">
        <v>6323068.0800000001</v>
      </c>
      <c r="L29" s="19">
        <v>3808686.93</v>
      </c>
      <c r="M29" s="19">
        <v>2368139.1800000002</v>
      </c>
      <c r="N29" s="26">
        <f t="shared" si="15"/>
        <v>37542920.170000002</v>
      </c>
      <c r="O29" s="19">
        <v>1208553.22</v>
      </c>
      <c r="P29" s="19">
        <v>889177.96</v>
      </c>
      <c r="Q29" s="19">
        <v>810930.91</v>
      </c>
      <c r="R29" s="19">
        <v>2472788.89</v>
      </c>
      <c r="S29" s="19">
        <v>1059696.71</v>
      </c>
      <c r="T29" s="19">
        <v>1800556.32</v>
      </c>
      <c r="U29" s="19">
        <v>1341741.69</v>
      </c>
      <c r="V29" s="19">
        <v>1142956.68</v>
      </c>
      <c r="W29" s="19">
        <v>2348458.86</v>
      </c>
      <c r="X29" s="19">
        <v>2785191.83</v>
      </c>
      <c r="Y29" s="19">
        <v>2442160.4500000002</v>
      </c>
      <c r="Z29" s="19">
        <v>989203.67</v>
      </c>
      <c r="AA29" s="26">
        <f t="shared" si="143"/>
        <v>19291417.190000001</v>
      </c>
      <c r="AB29" s="19">
        <v>1245819.48</v>
      </c>
      <c r="AC29" s="19">
        <v>1070277.2</v>
      </c>
      <c r="AD29" s="19">
        <v>3068766.69</v>
      </c>
      <c r="AE29" s="19">
        <v>2452400.33</v>
      </c>
      <c r="AF29" s="19">
        <v>1614794.22</v>
      </c>
      <c r="AG29" s="19">
        <v>1433127.5</v>
      </c>
      <c r="AH29" s="19">
        <v>4537240.5199999996</v>
      </c>
      <c r="AI29" s="19">
        <v>4419995.1500000004</v>
      </c>
      <c r="AJ29" s="19">
        <v>4704946.12</v>
      </c>
      <c r="AK29" s="19">
        <v>4064583.39</v>
      </c>
      <c r="AL29" s="19">
        <v>2222889.06</v>
      </c>
      <c r="AM29" s="19">
        <v>3130645.93</v>
      </c>
      <c r="AN29" s="26">
        <v>33965485.590000004</v>
      </c>
      <c r="AO29" s="19">
        <v>1366865.78</v>
      </c>
      <c r="AP29" s="19">
        <v>2339853.2799999998</v>
      </c>
      <c r="AQ29" s="19">
        <v>2391455.9900000002</v>
      </c>
      <c r="AR29" s="19">
        <v>4221199.8600000003</v>
      </c>
      <c r="AS29" s="19">
        <v>2515978.9700000002</v>
      </c>
      <c r="AT29" s="19">
        <v>2460814.4900000002</v>
      </c>
      <c r="AU29" s="19">
        <v>3034148.51</v>
      </c>
      <c r="AV29" s="19">
        <v>2186654.84</v>
      </c>
      <c r="AW29" s="19">
        <v>5448396.5899999999</v>
      </c>
      <c r="AX29" s="19">
        <v>2968410.72</v>
      </c>
      <c r="AY29" s="19">
        <v>2678308.6</v>
      </c>
      <c r="AZ29" s="19">
        <v>2465026.39</v>
      </c>
      <c r="BA29" s="26">
        <f t="shared" si="17"/>
        <v>34077114.020000003</v>
      </c>
      <c r="BB29" s="19">
        <v>1314515.26</v>
      </c>
      <c r="BC29" s="19">
        <v>3765759.61</v>
      </c>
      <c r="BD29" s="19">
        <v>3927682.7</v>
      </c>
      <c r="BE29" s="19">
        <v>2225916.7200000002</v>
      </c>
      <c r="BF29" s="19">
        <v>3601686.54</v>
      </c>
      <c r="BG29" s="19">
        <v>3152904.32</v>
      </c>
      <c r="BH29" s="19">
        <v>3562463.06</v>
      </c>
      <c r="BI29" s="19">
        <v>5596512.5899999999</v>
      </c>
      <c r="BJ29" s="19">
        <v>3110319.24</v>
      </c>
      <c r="BK29" s="19">
        <v>3956553.43</v>
      </c>
      <c r="BL29" s="19">
        <v>4652782.25</v>
      </c>
      <c r="BM29" s="19">
        <v>3454637.11</v>
      </c>
      <c r="BN29" s="26">
        <f t="shared" si="18"/>
        <v>42321732.829999998</v>
      </c>
      <c r="BO29" s="19">
        <v>2146707.62</v>
      </c>
      <c r="BP29" s="19">
        <v>2937388.1</v>
      </c>
      <c r="BQ29" s="19">
        <v>5162993.75</v>
      </c>
      <c r="BR29" s="19">
        <v>12455592.24</v>
      </c>
      <c r="BS29" s="19">
        <v>5201186.8600000003</v>
      </c>
      <c r="BT29" s="19">
        <v>5366986.9800000004</v>
      </c>
      <c r="BU29" s="19">
        <v>8326750.1799999997</v>
      </c>
      <c r="BV29" s="19">
        <v>3553015.15</v>
      </c>
      <c r="BW29" s="19">
        <v>5916493.9000000004</v>
      </c>
      <c r="BX29" s="19">
        <v>6548784.6900000004</v>
      </c>
      <c r="BY29" s="19">
        <v>4427213.0599999996</v>
      </c>
      <c r="BZ29" s="19">
        <v>7551508.5899999999</v>
      </c>
      <c r="CA29" s="26">
        <f t="shared" si="19"/>
        <v>69594621.120000005</v>
      </c>
      <c r="CB29" s="19">
        <v>10405986.15</v>
      </c>
      <c r="CC29" s="19">
        <v>6184265.3200000003</v>
      </c>
      <c r="CD29" s="19">
        <v>7190073.0899999999</v>
      </c>
      <c r="CE29" s="19">
        <v>9064810</v>
      </c>
      <c r="CF29" s="19">
        <v>6970684.9699999997</v>
      </c>
      <c r="CG29" s="19">
        <v>5665499.6100000003</v>
      </c>
      <c r="CH29" s="19">
        <v>3964719.79</v>
      </c>
      <c r="CI29" s="19">
        <v>5753703.4699999997</v>
      </c>
      <c r="CJ29" s="19">
        <v>9068978.7599999998</v>
      </c>
      <c r="CK29" s="19">
        <v>5362953.41</v>
      </c>
      <c r="CL29" s="19">
        <v>3481318.1</v>
      </c>
      <c r="CM29" s="19">
        <v>3412705.09</v>
      </c>
      <c r="CN29" s="26">
        <f t="shared" si="20"/>
        <v>76525697.75999999</v>
      </c>
      <c r="CO29" s="19">
        <v>5008446.42</v>
      </c>
      <c r="CP29" s="19">
        <v>3824953.97</v>
      </c>
      <c r="CQ29" s="19">
        <v>6275340.3099999996</v>
      </c>
      <c r="CR29" s="19">
        <v>4680123.5</v>
      </c>
      <c r="CS29" s="19">
        <v>5828866.5300000003</v>
      </c>
      <c r="CT29" s="19">
        <v>3993700.39</v>
      </c>
      <c r="CU29" s="19">
        <v>6615233.4699999997</v>
      </c>
      <c r="CV29" s="19">
        <v>4718502.4400000004</v>
      </c>
      <c r="CW29" s="19">
        <v>6805598.9299999997</v>
      </c>
      <c r="CX29" s="19">
        <v>6031317.6900000004</v>
      </c>
      <c r="CY29" s="19">
        <v>7117946.4800000004</v>
      </c>
      <c r="CZ29" s="19">
        <v>7240234.4500000002</v>
      </c>
      <c r="DA29" s="26">
        <f t="shared" si="21"/>
        <v>68140264.579999998</v>
      </c>
      <c r="DB29" s="19">
        <v>4610798.51</v>
      </c>
      <c r="DC29" s="19">
        <v>5479656.4000000004</v>
      </c>
      <c r="DD29" s="19">
        <f>1377.02+4151139.67</f>
        <v>4152516.69</v>
      </c>
      <c r="DE29" s="19">
        <v>3574544.6</v>
      </c>
      <c r="DF29" s="19">
        <v>3998177.83</v>
      </c>
      <c r="DG29" s="19">
        <v>8185344.2300000004</v>
      </c>
      <c r="DH29" s="19">
        <v>3623035.57</v>
      </c>
      <c r="DI29" s="19">
        <v>3406599.01</v>
      </c>
      <c r="DJ29" s="19">
        <v>3972779.32</v>
      </c>
      <c r="DK29" s="19">
        <v>2844225.51</v>
      </c>
      <c r="DL29" s="19">
        <f>131.96+2048056.04</f>
        <v>2048188</v>
      </c>
      <c r="DM29" s="19">
        <f>2163490.58+120.96</f>
        <v>2163611.54</v>
      </c>
      <c r="DN29" s="26">
        <f t="shared" si="23"/>
        <v>48059477.209999993</v>
      </c>
      <c r="DO29" s="49">
        <v>2649796.33</v>
      </c>
      <c r="DP29" s="49">
        <v>2564164.86</v>
      </c>
      <c r="DQ29" s="49">
        <v>8555850.8100000005</v>
      </c>
      <c r="DR29" s="49">
        <v>6086425.8499999996</v>
      </c>
      <c r="DS29" s="49">
        <v>3941962.46</v>
      </c>
      <c r="DT29" s="49">
        <v>5349583.12</v>
      </c>
      <c r="DU29" s="49">
        <v>3420603.57</v>
      </c>
      <c r="DV29" s="49">
        <v>2307681.83</v>
      </c>
      <c r="DW29" s="49">
        <v>1126935.21</v>
      </c>
      <c r="DX29" s="49">
        <v>5548727.8499999996</v>
      </c>
      <c r="DY29" s="53">
        <v>4418889.05</v>
      </c>
      <c r="DZ29" s="53">
        <v>4964931.6500000004</v>
      </c>
      <c r="EA29" s="27">
        <f t="shared" si="116"/>
        <v>50935552.590000004</v>
      </c>
      <c r="EB29" s="49">
        <v>2438787.46</v>
      </c>
      <c r="EC29" s="49">
        <v>4828988.6900000004</v>
      </c>
      <c r="ED29" s="49">
        <v>4948107.6399999997</v>
      </c>
      <c r="EE29" s="49">
        <f>3846948.41+36185510.88</f>
        <v>40032459.290000007</v>
      </c>
      <c r="EF29" s="49">
        <v>2156761.11</v>
      </c>
      <c r="EG29" s="49">
        <v>2097895.2400000002</v>
      </c>
      <c r="EH29" s="49">
        <f>2832071.7+40623961.14</f>
        <v>43456032.840000004</v>
      </c>
      <c r="EI29" s="49">
        <v>3000183.47</v>
      </c>
      <c r="EJ29" s="49">
        <v>2997661.62</v>
      </c>
      <c r="EK29" s="49">
        <f>4488628.29+35642516.27</f>
        <v>40131144.560000002</v>
      </c>
      <c r="EL29" s="49">
        <v>4228641.71</v>
      </c>
      <c r="EM29" s="49">
        <v>3454183.72</v>
      </c>
      <c r="EN29" s="63">
        <f>SUM(EB29:EM29)</f>
        <v>153770847.35000002</v>
      </c>
      <c r="EO29" s="49">
        <v>3435506.12</v>
      </c>
      <c r="EP29" s="49">
        <v>1704395.29</v>
      </c>
      <c r="EQ29" s="49">
        <v>3223091.55</v>
      </c>
      <c r="ER29" s="49">
        <v>3343449.75</v>
      </c>
      <c r="ES29" s="49">
        <v>3523861.1</v>
      </c>
      <c r="ET29" s="49">
        <v>2592278.29</v>
      </c>
      <c r="EU29" s="49">
        <v>2466497.85</v>
      </c>
      <c r="EV29" s="49">
        <v>2171252.0299999998</v>
      </c>
      <c r="EW29" s="49">
        <v>2125989.0099999998</v>
      </c>
      <c r="EX29" s="49">
        <v>5166836.62</v>
      </c>
      <c r="EY29" s="49">
        <v>5029633.3329999996</v>
      </c>
      <c r="EZ29" s="49">
        <v>3515091.87</v>
      </c>
      <c r="FA29" s="63">
        <f t="shared" si="27"/>
        <v>38297882.813000001</v>
      </c>
      <c r="FB29" s="49">
        <v>4032052.83</v>
      </c>
      <c r="FC29" s="49">
        <v>1558967.36</v>
      </c>
      <c r="FD29" s="49">
        <v>2198964.85</v>
      </c>
      <c r="FE29" s="49">
        <v>2818562.3</v>
      </c>
      <c r="FF29" s="49">
        <v>2014328.55</v>
      </c>
      <c r="FG29" s="49">
        <v>1835598.76</v>
      </c>
      <c r="FH29" s="49">
        <v>1712318.42</v>
      </c>
      <c r="FI29" s="49">
        <v>785401.25</v>
      </c>
      <c r="FJ29" s="49">
        <v>1066449.3999999999</v>
      </c>
      <c r="FK29" s="49">
        <v>968422.52</v>
      </c>
      <c r="FL29" s="49">
        <v>1067778.0900000001</v>
      </c>
      <c r="FM29" s="49">
        <v>2521857.63</v>
      </c>
      <c r="FN29" s="63">
        <f t="shared" si="28"/>
        <v>22580701.959999997</v>
      </c>
      <c r="FO29" s="49">
        <v>756367.65</v>
      </c>
      <c r="FP29" s="49">
        <v>1051686.07</v>
      </c>
      <c r="FQ29" s="49">
        <v>1331617.93</v>
      </c>
      <c r="FR29" s="49">
        <v>972233.49</v>
      </c>
      <c r="FS29" s="49">
        <v>626029.18000000005</v>
      </c>
      <c r="FT29" s="49">
        <v>1115488.73</v>
      </c>
      <c r="FU29" s="49">
        <v>928934.42</v>
      </c>
      <c r="FV29" s="49">
        <v>824427.42</v>
      </c>
      <c r="FW29" s="49">
        <v>1308330.47</v>
      </c>
      <c r="FX29" s="49">
        <v>617188.81000000006</v>
      </c>
      <c r="FY29" s="49">
        <v>1635542.59</v>
      </c>
      <c r="FZ29" s="49">
        <v>966493.47</v>
      </c>
      <c r="GA29" s="68">
        <f t="shared" si="30"/>
        <v>12134340.230000002</v>
      </c>
      <c r="GB29" s="49">
        <v>1266808.42</v>
      </c>
      <c r="GC29" s="49">
        <v>1357305.51</v>
      </c>
      <c r="GD29" s="49">
        <v>2023538.64</v>
      </c>
      <c r="GE29" s="49">
        <v>891979.13</v>
      </c>
      <c r="GF29" s="49">
        <v>2511342.61</v>
      </c>
      <c r="GG29" s="49">
        <v>1005923.76</v>
      </c>
      <c r="GH29" s="49">
        <v>2166039.5699999998</v>
      </c>
      <c r="GI29" s="49">
        <v>1288800.51</v>
      </c>
      <c r="GJ29" s="49">
        <v>1627445.16</v>
      </c>
      <c r="GK29" s="49">
        <v>1621257.4</v>
      </c>
      <c r="GL29" s="49">
        <v>1936074.1</v>
      </c>
      <c r="GM29" s="49">
        <v>1153226.73</v>
      </c>
      <c r="GN29" s="68">
        <v>18849741.539999999</v>
      </c>
      <c r="GO29" s="49">
        <v>1433182.33</v>
      </c>
      <c r="GP29" s="49">
        <v>1486287.78</v>
      </c>
      <c r="GQ29" s="49">
        <v>1167631.06</v>
      </c>
      <c r="GR29" s="81">
        <v>1167069.7</v>
      </c>
      <c r="GS29" s="49">
        <v>2118990.09</v>
      </c>
      <c r="GT29" s="86">
        <v>1728873.68</v>
      </c>
      <c r="GU29" s="86">
        <v>668416.05000000005</v>
      </c>
      <c r="GV29" s="86">
        <v>1444044.6</v>
      </c>
      <c r="GW29" s="86">
        <v>953447.01</v>
      </c>
      <c r="GX29" s="86">
        <v>1527557.83</v>
      </c>
      <c r="GY29" s="86">
        <v>1598430.82</v>
      </c>
      <c r="GZ29" s="86">
        <v>1562178.6</v>
      </c>
      <c r="HA29" s="68">
        <f t="shared" si="162"/>
        <v>16856109.550000001</v>
      </c>
      <c r="HB29" s="86">
        <v>853091.46</v>
      </c>
      <c r="HC29" s="86">
        <v>1095166.8400000001</v>
      </c>
      <c r="HD29" s="88">
        <v>610441.23</v>
      </c>
      <c r="HE29" s="86">
        <v>2510187.39</v>
      </c>
      <c r="HF29" s="86">
        <v>1775453.56</v>
      </c>
      <c r="HG29" s="86">
        <v>1419565.25</v>
      </c>
      <c r="HH29" s="86">
        <v>800045.24</v>
      </c>
      <c r="HI29" s="86">
        <v>1170243.24</v>
      </c>
      <c r="HJ29" s="86">
        <v>843713.4</v>
      </c>
      <c r="HK29" s="86">
        <v>1481144.66</v>
      </c>
      <c r="HL29" s="86">
        <v>946198.51</v>
      </c>
      <c r="HM29" s="86">
        <v>324763.90999999997</v>
      </c>
      <c r="HN29" s="68">
        <f t="shared" si="138"/>
        <v>13830014.690000001</v>
      </c>
      <c r="HO29" s="86">
        <v>783139.11</v>
      </c>
      <c r="HP29" s="86">
        <v>985185.92</v>
      </c>
      <c r="HQ29" s="86">
        <v>1349907.63</v>
      </c>
      <c r="HR29" s="86">
        <v>1090223.1299999999</v>
      </c>
      <c r="HS29" s="86">
        <v>1125382.1599999999</v>
      </c>
      <c r="HT29" s="86">
        <v>945731.78</v>
      </c>
      <c r="HU29" s="86">
        <v>413746.08</v>
      </c>
      <c r="HV29" s="86">
        <v>743581.54</v>
      </c>
      <c r="HW29" s="86">
        <v>1240099.49</v>
      </c>
      <c r="HX29" s="86">
        <v>1371787.97</v>
      </c>
      <c r="HY29" s="86">
        <v>1318227.02</v>
      </c>
      <c r="HZ29" s="86">
        <v>775283.4</v>
      </c>
      <c r="IA29" s="68">
        <f t="shared" si="166"/>
        <v>12142295.23</v>
      </c>
      <c r="IB29" s="86">
        <v>674303.06</v>
      </c>
      <c r="IC29" s="86">
        <v>903070.09</v>
      </c>
      <c r="ID29" s="86">
        <v>1958831.83</v>
      </c>
      <c r="IE29" s="86">
        <v>2430742.2000000002</v>
      </c>
      <c r="IF29" s="86">
        <v>3307477.88</v>
      </c>
      <c r="IG29" s="86">
        <v>2276043.91</v>
      </c>
      <c r="IH29" s="86">
        <v>2485069.0299999998</v>
      </c>
      <c r="II29" s="86">
        <v>1708785.05</v>
      </c>
      <c r="IJ29" s="68">
        <f t="shared" si="168"/>
        <v>15744323.049999999</v>
      </c>
    </row>
    <row r="30" spans="1:244" s="11" customFormat="1" ht="18.75" x14ac:dyDescent="0.3">
      <c r="A30" s="37"/>
      <c r="B30" s="18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26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26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26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26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26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26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26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26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26"/>
      <c r="DO30" s="49"/>
      <c r="DP30" s="49"/>
      <c r="DQ30" s="49"/>
      <c r="DR30" s="49"/>
      <c r="DS30" s="49"/>
      <c r="DT30" s="49"/>
      <c r="DU30" s="49"/>
      <c r="DV30" s="49"/>
      <c r="DW30" s="49"/>
      <c r="DX30" s="49"/>
      <c r="DY30" s="49"/>
      <c r="DZ30" s="49"/>
      <c r="EA30" s="27"/>
      <c r="EB30" s="49"/>
      <c r="EC30" s="49"/>
      <c r="ED30" s="49"/>
      <c r="EE30" s="49"/>
      <c r="EF30" s="49"/>
      <c r="EG30" s="49"/>
      <c r="EH30" s="49"/>
      <c r="EI30" s="49"/>
      <c r="EJ30" s="49"/>
      <c r="EK30" s="49"/>
      <c r="EL30" s="49"/>
      <c r="EM30" s="49"/>
      <c r="EN30" s="63"/>
      <c r="EO30" s="49"/>
      <c r="EP30" s="49"/>
      <c r="EQ30" s="49"/>
      <c r="ER30" s="49"/>
      <c r="ES30" s="49"/>
      <c r="ET30" s="49"/>
      <c r="EU30" s="49"/>
      <c r="EV30" s="49"/>
      <c r="EW30" s="49"/>
      <c r="EX30" s="49"/>
      <c r="EY30" s="49"/>
      <c r="EZ30" s="49"/>
      <c r="FA30" s="63"/>
      <c r="FB30" s="49"/>
      <c r="FC30" s="49"/>
      <c r="FD30" s="49"/>
      <c r="FE30" s="49"/>
      <c r="FF30" s="49"/>
      <c r="FG30" s="49"/>
      <c r="FH30" s="49"/>
      <c r="FI30" s="49"/>
      <c r="FJ30" s="49"/>
      <c r="FK30" s="49"/>
      <c r="FL30" s="49"/>
      <c r="FM30" s="49"/>
      <c r="FN30" s="63"/>
      <c r="FO30" s="49"/>
      <c r="FP30" s="49"/>
      <c r="FQ30" s="49"/>
      <c r="FR30" s="49"/>
      <c r="FS30" s="49"/>
      <c r="FT30" s="49"/>
      <c r="FU30" s="49"/>
      <c r="FV30" s="49"/>
      <c r="FW30" s="49"/>
      <c r="FX30" s="49"/>
      <c r="FY30" s="49"/>
      <c r="FZ30" s="49"/>
      <c r="GA30" s="68"/>
      <c r="GB30" s="49"/>
      <c r="GC30" s="49"/>
      <c r="GD30" s="49"/>
      <c r="GE30" s="49"/>
      <c r="GF30" s="49"/>
      <c r="GG30" s="49"/>
      <c r="GH30" s="49"/>
      <c r="GI30" s="49"/>
      <c r="GJ30" s="49"/>
      <c r="GK30" s="49"/>
      <c r="GL30" s="49"/>
      <c r="GM30" s="49"/>
      <c r="GN30" s="68"/>
      <c r="GO30" s="49"/>
      <c r="GP30" s="49"/>
      <c r="GQ30" s="49"/>
      <c r="GR30" s="81"/>
      <c r="GS30" s="49"/>
      <c r="GT30" s="86"/>
      <c r="GU30" s="86"/>
      <c r="GV30" s="86"/>
      <c r="GW30" s="86"/>
      <c r="GX30" s="86"/>
      <c r="GY30" s="86"/>
      <c r="GZ30" s="86"/>
      <c r="HA30" s="68"/>
      <c r="HB30" s="86"/>
      <c r="HC30" s="86"/>
      <c r="HD30" s="86"/>
      <c r="HE30" s="86"/>
      <c r="HF30" s="86"/>
      <c r="HG30" s="86"/>
      <c r="HH30" s="86"/>
      <c r="HI30" s="86"/>
      <c r="HJ30" s="86"/>
      <c r="HK30" s="86"/>
      <c r="HL30" s="86"/>
      <c r="HM30" s="86"/>
      <c r="HN30" s="68"/>
      <c r="HO30" s="86"/>
      <c r="HP30" s="86"/>
      <c r="HQ30" s="86"/>
      <c r="HR30" s="86"/>
      <c r="HS30" s="86"/>
      <c r="HT30" s="86"/>
      <c r="HU30" s="86"/>
      <c r="HV30" s="86"/>
      <c r="HW30" s="86"/>
      <c r="HX30" s="86"/>
      <c r="HY30" s="86"/>
      <c r="HZ30" s="86"/>
      <c r="IA30" s="68"/>
      <c r="IB30" s="86"/>
      <c r="IC30" s="86"/>
      <c r="ID30" s="86"/>
      <c r="IE30" s="86"/>
      <c r="IF30" s="86"/>
      <c r="IG30" s="86"/>
      <c r="IH30" s="86"/>
      <c r="II30" s="86"/>
      <c r="IJ30" s="68"/>
    </row>
    <row r="31" spans="1:244" s="11" customFormat="1" ht="18.75" x14ac:dyDescent="0.3">
      <c r="A31" s="24" t="s">
        <v>35</v>
      </c>
      <c r="B31" s="47">
        <f t="shared" ref="B31:BM31" si="189">+B32+B33+B34+B35</f>
        <v>22493133.31000042</v>
      </c>
      <c r="C31" s="47">
        <f t="shared" si="189"/>
        <v>4721184.5500001907</v>
      </c>
      <c r="D31" s="47">
        <f t="shared" si="189"/>
        <v>1145831.220000267</v>
      </c>
      <c r="E31" s="47">
        <f t="shared" si="189"/>
        <v>64848874.819999546</v>
      </c>
      <c r="F31" s="47">
        <f t="shared" si="189"/>
        <v>16487717.739999352</v>
      </c>
      <c r="G31" s="76">
        <f t="shared" si="189"/>
        <v>27248626.600001335</v>
      </c>
      <c r="H31" s="76">
        <f t="shared" si="189"/>
        <v>1548357.5399990082</v>
      </c>
      <c r="I31" s="76">
        <f t="shared" si="189"/>
        <v>2454991.0200004578</v>
      </c>
      <c r="J31" s="76">
        <f t="shared" si="189"/>
        <v>4338489.9199995995</v>
      </c>
      <c r="K31" s="76">
        <f t="shared" si="189"/>
        <v>12238793.75</v>
      </c>
      <c r="L31" s="76">
        <f t="shared" si="189"/>
        <v>13033314.899999389</v>
      </c>
      <c r="M31" s="76">
        <f t="shared" si="189"/>
        <v>53281378.900000267</v>
      </c>
      <c r="N31" s="47">
        <f t="shared" si="189"/>
        <v>223840694.26999983</v>
      </c>
      <c r="O31" s="47">
        <f t="shared" si="189"/>
        <v>17644251.069999807</v>
      </c>
      <c r="P31" s="47">
        <f t="shared" si="189"/>
        <v>19649847.270000227</v>
      </c>
      <c r="Q31" s="47">
        <f t="shared" si="189"/>
        <v>21866527.99999981</v>
      </c>
      <c r="R31" s="47">
        <f t="shared" si="189"/>
        <v>29822650.130000133</v>
      </c>
      <c r="S31" s="47">
        <f t="shared" si="189"/>
        <v>22492722.220000327</v>
      </c>
      <c r="T31" s="47">
        <f t="shared" si="189"/>
        <v>14928484.850000076</v>
      </c>
      <c r="U31" s="47">
        <f t="shared" si="189"/>
        <v>18021194.039998949</v>
      </c>
      <c r="V31" s="47">
        <f t="shared" si="189"/>
        <v>15658975.739999104</v>
      </c>
      <c r="W31" s="47">
        <f t="shared" si="189"/>
        <v>32281765.949999221</v>
      </c>
      <c r="X31" s="47">
        <f t="shared" si="189"/>
        <v>17076443.869999617</v>
      </c>
      <c r="Y31" s="47">
        <f t="shared" si="189"/>
        <v>16072289.660000229</v>
      </c>
      <c r="Z31" s="47">
        <f t="shared" si="189"/>
        <v>39311169.640000343</v>
      </c>
      <c r="AA31" s="47">
        <f t="shared" si="189"/>
        <v>264826322.43999785</v>
      </c>
      <c r="AB31" s="47">
        <f t="shared" si="189"/>
        <v>22241904.019999828</v>
      </c>
      <c r="AC31" s="47">
        <f t="shared" si="189"/>
        <v>41849088.240000248</v>
      </c>
      <c r="AD31" s="47">
        <f t="shared" si="189"/>
        <v>23451084.780000798</v>
      </c>
      <c r="AE31" s="47">
        <f t="shared" si="189"/>
        <v>23842342.259999312</v>
      </c>
      <c r="AF31" s="47">
        <f t="shared" si="189"/>
        <v>21806565.959998704</v>
      </c>
      <c r="AG31" s="47">
        <f t="shared" si="189"/>
        <v>21467150.559999734</v>
      </c>
      <c r="AH31" s="47">
        <f t="shared" si="189"/>
        <v>22156133.029998779</v>
      </c>
      <c r="AI31" s="47">
        <f t="shared" si="189"/>
        <v>21189524.32000038</v>
      </c>
      <c r="AJ31" s="47">
        <f t="shared" si="189"/>
        <v>35218901.290000193</v>
      </c>
      <c r="AK31" s="47">
        <f t="shared" si="189"/>
        <v>19546190.97999943</v>
      </c>
      <c r="AL31" s="47">
        <f t="shared" si="189"/>
        <v>18754682.00999897</v>
      </c>
      <c r="AM31" s="47">
        <f t="shared" si="189"/>
        <v>44928253.89000015</v>
      </c>
      <c r="AN31" s="47">
        <f t="shared" si="189"/>
        <v>316451821.33999658</v>
      </c>
      <c r="AO31" s="47">
        <f t="shared" si="189"/>
        <v>33906323.590000384</v>
      </c>
      <c r="AP31" s="47">
        <f t="shared" si="189"/>
        <v>29712576.749998588</v>
      </c>
      <c r="AQ31" s="47">
        <f t="shared" si="189"/>
        <v>19127031.249998666</v>
      </c>
      <c r="AR31" s="47">
        <f t="shared" si="189"/>
        <v>17353774.17999981</v>
      </c>
      <c r="AS31" s="47">
        <f t="shared" si="189"/>
        <v>42966505.959998623</v>
      </c>
      <c r="AT31" s="47">
        <f t="shared" si="189"/>
        <v>45206546.240000308</v>
      </c>
      <c r="AU31" s="47">
        <f t="shared" si="189"/>
        <v>17713019.659999657</v>
      </c>
      <c r="AV31" s="47">
        <f t="shared" si="189"/>
        <v>29835151.779998589</v>
      </c>
      <c r="AW31" s="47">
        <f t="shared" si="189"/>
        <v>23510523.050000191</v>
      </c>
      <c r="AX31" s="47">
        <f t="shared" si="189"/>
        <v>12205950.189999886</v>
      </c>
      <c r="AY31" s="47">
        <f t="shared" si="189"/>
        <v>29263551.079999428</v>
      </c>
      <c r="AZ31" s="47">
        <f t="shared" si="189"/>
        <v>29186250.829999238</v>
      </c>
      <c r="BA31" s="47">
        <f t="shared" si="189"/>
        <v>329987204.55999333</v>
      </c>
      <c r="BB31" s="47">
        <f t="shared" si="189"/>
        <v>12568646.860000076</v>
      </c>
      <c r="BC31" s="47">
        <f t="shared" si="189"/>
        <v>35082780.519999579</v>
      </c>
      <c r="BD31" s="47">
        <f t="shared" si="189"/>
        <v>29021909.710000724</v>
      </c>
      <c r="BE31" s="47">
        <f t="shared" si="189"/>
        <v>29485018.609999388</v>
      </c>
      <c r="BF31" s="47">
        <f t="shared" si="189"/>
        <v>26168234.720000803</v>
      </c>
      <c r="BG31" s="47">
        <f t="shared" si="189"/>
        <v>23081943.939999506</v>
      </c>
      <c r="BH31" s="47">
        <f t="shared" si="189"/>
        <v>20813645.289999656</v>
      </c>
      <c r="BI31" s="47">
        <f t="shared" si="189"/>
        <v>22672963.940000955</v>
      </c>
      <c r="BJ31" s="47">
        <f t="shared" si="189"/>
        <v>27052757.690000724</v>
      </c>
      <c r="BK31" s="47">
        <f t="shared" si="189"/>
        <v>21454479.979999732</v>
      </c>
      <c r="BL31" s="47">
        <f t="shared" si="189"/>
        <v>23580071.079999808</v>
      </c>
      <c r="BM31" s="47">
        <f t="shared" si="189"/>
        <v>24372625.940000497</v>
      </c>
      <c r="BN31" s="47">
        <f t="shared" ref="BN31:DY31" si="190">+BN32+BN33+BN34+BN35</f>
        <v>295355078.28000146</v>
      </c>
      <c r="BO31" s="47">
        <f t="shared" si="190"/>
        <v>28575933.010000914</v>
      </c>
      <c r="BP31" s="47">
        <f t="shared" si="190"/>
        <v>5034937.0899991989</v>
      </c>
      <c r="BQ31" s="47">
        <f t="shared" si="190"/>
        <v>10208186.640000343</v>
      </c>
      <c r="BR31" s="47">
        <f t="shared" si="190"/>
        <v>4499768.5299985502</v>
      </c>
      <c r="BS31" s="47">
        <f t="shared" si="190"/>
        <v>4163728.8000008394</v>
      </c>
      <c r="BT31" s="47">
        <f t="shared" si="190"/>
        <v>4033268.1000003433</v>
      </c>
      <c r="BU31" s="47">
        <f t="shared" si="190"/>
        <v>4201879.879999199</v>
      </c>
      <c r="BV31" s="47">
        <f t="shared" si="190"/>
        <v>4406050.0700010676</v>
      </c>
      <c r="BW31" s="47">
        <f t="shared" si="190"/>
        <v>4437105.4899990465</v>
      </c>
      <c r="BX31" s="47">
        <f t="shared" si="190"/>
        <v>5367276.4600000763</v>
      </c>
      <c r="BY31" s="47">
        <f t="shared" si="190"/>
        <v>4523323.0299999239</v>
      </c>
      <c r="BZ31" s="47">
        <f t="shared" si="190"/>
        <v>4630232.760000038</v>
      </c>
      <c r="CA31" s="47">
        <f t="shared" si="190"/>
        <v>84081689.859999537</v>
      </c>
      <c r="CB31" s="47">
        <f t="shared" si="190"/>
        <v>4376905.1400004197</v>
      </c>
      <c r="CC31" s="47">
        <f t="shared" si="190"/>
        <v>3553914.97</v>
      </c>
      <c r="CD31" s="47">
        <f t="shared" si="190"/>
        <v>4698394.7499991609</v>
      </c>
      <c r="CE31" s="47">
        <f t="shared" si="190"/>
        <v>12132302.710000992</v>
      </c>
      <c r="CF31" s="47">
        <f t="shared" si="190"/>
        <v>5245300.2000007248</v>
      </c>
      <c r="CG31" s="47">
        <f t="shared" si="190"/>
        <v>4252408.0299988175</v>
      </c>
      <c r="CH31" s="47">
        <f t="shared" si="190"/>
        <v>5247131.0700003821</v>
      </c>
      <c r="CI31" s="47">
        <f t="shared" si="190"/>
        <v>7035916.3699991982</v>
      </c>
      <c r="CJ31" s="47">
        <f t="shared" si="190"/>
        <v>4958106.0900011063</v>
      </c>
      <c r="CK31" s="47">
        <f t="shared" si="190"/>
        <v>5434935.5400000764</v>
      </c>
      <c r="CL31" s="47">
        <f t="shared" si="190"/>
        <v>5086475.0999994278</v>
      </c>
      <c r="CM31" s="47">
        <f t="shared" si="190"/>
        <v>5524456.1400001524</v>
      </c>
      <c r="CN31" s="47">
        <f>+CN32+CN33+CN34+CN35</f>
        <v>67546246.110000461</v>
      </c>
      <c r="CO31" s="47">
        <f t="shared" si="190"/>
        <v>4585592.13</v>
      </c>
      <c r="CP31" s="47">
        <f t="shared" si="190"/>
        <v>5151918</v>
      </c>
      <c r="CQ31" s="47">
        <f t="shared" si="190"/>
        <v>7897608.1299999999</v>
      </c>
      <c r="CR31" s="47">
        <f t="shared" si="190"/>
        <v>21305448.510000002</v>
      </c>
      <c r="CS31" s="47">
        <f t="shared" si="190"/>
        <v>5098350.7299999995</v>
      </c>
      <c r="CT31" s="47">
        <f t="shared" si="190"/>
        <v>4163762.83</v>
      </c>
      <c r="CU31" s="47">
        <f t="shared" si="190"/>
        <v>5501745.6399999997</v>
      </c>
      <c r="CV31" s="47">
        <f t="shared" si="190"/>
        <v>4558954.88</v>
      </c>
      <c r="CW31" s="47">
        <f t="shared" si="190"/>
        <v>5236924.75</v>
      </c>
      <c r="CX31" s="47">
        <f t="shared" si="190"/>
        <v>5635371.7400000002</v>
      </c>
      <c r="CY31" s="47">
        <f t="shared" si="190"/>
        <v>5610975.0800000001</v>
      </c>
      <c r="CZ31" s="47">
        <f t="shared" si="190"/>
        <v>294709171.20999998</v>
      </c>
      <c r="DA31" s="47">
        <f t="shared" si="190"/>
        <v>369455823.62999994</v>
      </c>
      <c r="DB31" s="47">
        <f t="shared" si="190"/>
        <v>4013030.62</v>
      </c>
      <c r="DC31" s="47">
        <f t="shared" si="190"/>
        <v>4464361.1100000003</v>
      </c>
      <c r="DD31" s="47">
        <f t="shared" si="190"/>
        <v>5227006.88</v>
      </c>
      <c r="DE31" s="47">
        <f t="shared" si="190"/>
        <v>6837119.9100000001</v>
      </c>
      <c r="DF31" s="47">
        <f t="shared" si="190"/>
        <v>9140573.9299999997</v>
      </c>
      <c r="DG31" s="47">
        <f t="shared" si="190"/>
        <v>5332677.71</v>
      </c>
      <c r="DH31" s="47">
        <f t="shared" si="190"/>
        <v>5513364.8899999997</v>
      </c>
      <c r="DI31" s="47">
        <f t="shared" si="190"/>
        <v>6331396.5300000003</v>
      </c>
      <c r="DJ31" s="47">
        <f t="shared" si="190"/>
        <v>8160672.3600000013</v>
      </c>
      <c r="DK31" s="47">
        <f t="shared" si="190"/>
        <v>6737875.46</v>
      </c>
      <c r="DL31" s="47">
        <f t="shared" si="190"/>
        <v>9874354.9199999999</v>
      </c>
      <c r="DM31" s="47">
        <f t="shared" si="190"/>
        <v>15330110.17</v>
      </c>
      <c r="DN31" s="47">
        <f t="shared" si="190"/>
        <v>86962544.49000001</v>
      </c>
      <c r="DO31" s="47">
        <f t="shared" si="190"/>
        <v>7457697.3600000003</v>
      </c>
      <c r="DP31" s="47">
        <f t="shared" si="190"/>
        <v>5184598.68</v>
      </c>
      <c r="DQ31" s="47">
        <f t="shared" si="190"/>
        <v>7720113.75</v>
      </c>
      <c r="DR31" s="47">
        <f t="shared" si="190"/>
        <v>6220518.8399999999</v>
      </c>
      <c r="DS31" s="47">
        <f t="shared" si="190"/>
        <v>6966425.2300000004</v>
      </c>
      <c r="DT31" s="47">
        <f t="shared" si="190"/>
        <v>161494586.53</v>
      </c>
      <c r="DU31" s="47">
        <f t="shared" si="190"/>
        <v>95619988.920000002</v>
      </c>
      <c r="DV31" s="47">
        <f t="shared" si="190"/>
        <v>62145300.810000002</v>
      </c>
      <c r="DW31" s="47">
        <f t="shared" si="190"/>
        <v>82297495.840000004</v>
      </c>
      <c r="DX31" s="47">
        <f t="shared" si="190"/>
        <v>12323798.02</v>
      </c>
      <c r="DY31" s="47">
        <f t="shared" si="190"/>
        <v>96122185.299999997</v>
      </c>
      <c r="DZ31" s="47">
        <f t="shared" ref="DZ31:FZ31" si="191">+DZ32+DZ33+DZ34+DZ35</f>
        <v>169668590.55000001</v>
      </c>
      <c r="EA31" s="47">
        <f t="shared" si="191"/>
        <v>713221299.83000004</v>
      </c>
      <c r="EB31" s="47">
        <f t="shared" si="191"/>
        <v>94583584.75</v>
      </c>
      <c r="EC31" s="47">
        <f t="shared" si="191"/>
        <v>90770056.5</v>
      </c>
      <c r="ED31" s="47">
        <f t="shared" si="191"/>
        <v>58199824.640000001</v>
      </c>
      <c r="EE31" s="47">
        <f t="shared" si="191"/>
        <v>51541068.979999997</v>
      </c>
      <c r="EF31" s="47">
        <f t="shared" si="191"/>
        <v>135797599.09999999</v>
      </c>
      <c r="EG31" s="47">
        <f t="shared" si="191"/>
        <v>144318665.34</v>
      </c>
      <c r="EH31" s="47">
        <f t="shared" si="191"/>
        <v>102829828.41</v>
      </c>
      <c r="EI31" s="47">
        <f t="shared" si="191"/>
        <v>95593315.820000008</v>
      </c>
      <c r="EJ31" s="47">
        <f t="shared" si="191"/>
        <v>222003584.78</v>
      </c>
      <c r="EK31" s="47">
        <f t="shared" si="191"/>
        <v>100903218.80999999</v>
      </c>
      <c r="EL31" s="47">
        <f t="shared" si="191"/>
        <v>116761994.75999999</v>
      </c>
      <c r="EM31" s="47">
        <f t="shared" si="191"/>
        <v>119526050.40000001</v>
      </c>
      <c r="EN31" s="47">
        <f t="shared" si="191"/>
        <v>1332828792.29</v>
      </c>
      <c r="EO31" s="47">
        <f t="shared" si="191"/>
        <v>80121330.070000008</v>
      </c>
      <c r="EP31" s="47">
        <f t="shared" si="191"/>
        <v>37592196.100000001</v>
      </c>
      <c r="EQ31" s="47">
        <f t="shared" si="191"/>
        <v>99419596</v>
      </c>
      <c r="ER31" s="47">
        <f t="shared" si="191"/>
        <v>90754746.569999993</v>
      </c>
      <c r="ES31" s="47">
        <f t="shared" si="191"/>
        <v>129025042.42999999</v>
      </c>
      <c r="ET31" s="47">
        <f t="shared" si="191"/>
        <v>149343458.58000001</v>
      </c>
      <c r="EU31" s="47">
        <f t="shared" si="191"/>
        <v>373041419.53000003</v>
      </c>
      <c r="EV31" s="47">
        <f t="shared" si="191"/>
        <v>193496876.28999999</v>
      </c>
      <c r="EW31" s="47">
        <f t="shared" si="191"/>
        <v>132083367.13999999</v>
      </c>
      <c r="EX31" s="47">
        <f t="shared" si="191"/>
        <v>59038898.409999996</v>
      </c>
      <c r="EY31" s="47">
        <f t="shared" si="191"/>
        <v>341365565.91999996</v>
      </c>
      <c r="EZ31" s="47">
        <f t="shared" si="191"/>
        <v>101003674.81</v>
      </c>
      <c r="FA31" s="47">
        <f t="shared" si="191"/>
        <v>1786286171.8499999</v>
      </c>
      <c r="FB31" s="47">
        <f t="shared" si="191"/>
        <v>93397706.460000008</v>
      </c>
      <c r="FC31" s="47">
        <f t="shared" si="191"/>
        <v>201215692.46000001</v>
      </c>
      <c r="FD31" s="47">
        <f t="shared" si="191"/>
        <v>30420996.420000002</v>
      </c>
      <c r="FE31" s="47">
        <f t="shared" si="191"/>
        <v>14559231.539999999</v>
      </c>
      <c r="FF31" s="47">
        <f t="shared" si="191"/>
        <v>112600.79000000001</v>
      </c>
      <c r="FG31" s="47">
        <f t="shared" si="191"/>
        <v>19008280.23</v>
      </c>
      <c r="FH31" s="47">
        <f t="shared" si="191"/>
        <v>72129684.519999996</v>
      </c>
      <c r="FI31" s="47">
        <f t="shared" si="191"/>
        <v>120919149.41</v>
      </c>
      <c r="FJ31" s="47">
        <f t="shared" si="191"/>
        <v>28863621.620000001</v>
      </c>
      <c r="FK31" s="47">
        <f t="shared" si="191"/>
        <v>112466922.97000001</v>
      </c>
      <c r="FL31" s="47">
        <f t="shared" si="191"/>
        <v>165592072.79999998</v>
      </c>
      <c r="FM31" s="47">
        <f t="shared" si="191"/>
        <v>181868173.53</v>
      </c>
      <c r="FN31" s="47">
        <f t="shared" si="191"/>
        <v>1040554132.7499999</v>
      </c>
      <c r="FO31" s="47">
        <f t="shared" si="191"/>
        <v>286485776.69</v>
      </c>
      <c r="FP31" s="47">
        <f t="shared" si="191"/>
        <v>251897562.06</v>
      </c>
      <c r="FQ31" s="47">
        <f t="shared" si="191"/>
        <v>145434494.63999999</v>
      </c>
      <c r="FR31" s="47">
        <f t="shared" si="191"/>
        <v>145390918.56</v>
      </c>
      <c r="FS31" s="47">
        <f t="shared" si="191"/>
        <v>178695160.75999999</v>
      </c>
      <c r="FT31" s="47">
        <f t="shared" si="191"/>
        <v>177207665.27000001</v>
      </c>
      <c r="FU31" s="47">
        <f t="shared" si="191"/>
        <v>202919832.31</v>
      </c>
      <c r="FV31" s="47">
        <f t="shared" si="191"/>
        <v>324185146.72000003</v>
      </c>
      <c r="FW31" s="47">
        <f t="shared" si="191"/>
        <v>308194844.45999998</v>
      </c>
      <c r="FX31" s="47">
        <f t="shared" si="191"/>
        <v>236965285.66999999</v>
      </c>
      <c r="FY31" s="47">
        <f t="shared" si="191"/>
        <v>130207298.31999999</v>
      </c>
      <c r="FZ31" s="47">
        <f t="shared" si="191"/>
        <v>199977685.21000001</v>
      </c>
      <c r="GA31" s="68">
        <f t="shared" si="30"/>
        <v>2587561670.6700001</v>
      </c>
      <c r="GB31" s="47">
        <f t="shared" ref="GB31:GJ31" si="192">+GB32+GB33+GB34+GB35</f>
        <v>154326848.44</v>
      </c>
      <c r="GC31" s="47">
        <f t="shared" si="192"/>
        <v>219508660.53999999</v>
      </c>
      <c r="GD31" s="47">
        <f t="shared" si="192"/>
        <v>235414378.19</v>
      </c>
      <c r="GE31" s="47">
        <f t="shared" si="192"/>
        <v>56437929.160000004</v>
      </c>
      <c r="GF31" s="47">
        <f t="shared" si="192"/>
        <v>204818078.44</v>
      </c>
      <c r="GG31" s="47">
        <f t="shared" si="192"/>
        <v>107940514.94</v>
      </c>
      <c r="GH31" s="47">
        <f t="shared" si="192"/>
        <v>354906193</v>
      </c>
      <c r="GI31" s="47">
        <f t="shared" si="192"/>
        <v>6809341.6499999994</v>
      </c>
      <c r="GJ31" s="47">
        <f t="shared" si="192"/>
        <v>709686724.29999995</v>
      </c>
      <c r="GK31" s="47">
        <f>+GK32+GK33+GK34+GK35</f>
        <v>1897677717.73</v>
      </c>
      <c r="GL31" s="47">
        <f>+GL32+GL33+GL34+GL35</f>
        <v>581687922.74000001</v>
      </c>
      <c r="GM31" s="47">
        <f>+GM32+GM33+GM34+GM35</f>
        <v>258680811.69</v>
      </c>
      <c r="GN31" s="68">
        <v>4787895120.8199997</v>
      </c>
      <c r="GO31" s="47">
        <f>+GO32+GO33+GO34+GO35</f>
        <v>121277781.14</v>
      </c>
      <c r="GP31" s="47">
        <f>+GP32+GP33+GP34+GP35</f>
        <v>946747124.59000003</v>
      </c>
      <c r="GQ31" s="47">
        <f>+GQ32+GQ33+GQ34+GQ35</f>
        <v>311034394.69999999</v>
      </c>
      <c r="GR31" s="76">
        <v>275383647.12</v>
      </c>
      <c r="GS31" s="47">
        <f t="shared" ref="GS31:GW31" si="193">+GS32+GS33+GS34+GS35</f>
        <v>94322885.779999986</v>
      </c>
      <c r="GT31" s="68">
        <f t="shared" si="193"/>
        <v>239572452.07999998</v>
      </c>
      <c r="GU31" s="68">
        <f t="shared" si="193"/>
        <v>88687334.739999995</v>
      </c>
      <c r="GV31" s="68">
        <f t="shared" si="193"/>
        <v>77593564.620000005</v>
      </c>
      <c r="GW31" s="68">
        <f t="shared" si="193"/>
        <v>144611122.30000001</v>
      </c>
      <c r="GX31" s="68">
        <f>+GX32+GX33+GX34+GX35</f>
        <v>124272139.22</v>
      </c>
      <c r="GY31" s="68">
        <f>+GY32+GY33+GY34+GY35</f>
        <v>114565892.40000001</v>
      </c>
      <c r="GZ31" s="68">
        <f>+GZ32+GZ33+GZ34+GZ35</f>
        <v>100714269.29000001</v>
      </c>
      <c r="HA31" s="68">
        <f>SUM(GO31:GZ31)</f>
        <v>2638782607.98</v>
      </c>
      <c r="HB31" s="68">
        <f t="shared" ref="HB31:HG31" si="194">+HB32+HB33+HB34+HB35</f>
        <v>30114983.439999998</v>
      </c>
      <c r="HC31" s="68">
        <f t="shared" si="194"/>
        <v>213644672.81999999</v>
      </c>
      <c r="HD31" s="68">
        <f t="shared" si="194"/>
        <v>63483869.780000001</v>
      </c>
      <c r="HE31" s="68">
        <f t="shared" si="194"/>
        <v>81944850.699999988</v>
      </c>
      <c r="HF31" s="68">
        <f t="shared" si="194"/>
        <v>112223902.89</v>
      </c>
      <c r="HG31" s="68">
        <f t="shared" si="194"/>
        <v>81313482.219999999</v>
      </c>
      <c r="HH31" s="68">
        <f t="shared" ref="HH31:HM31" si="195">+HH32+HH33+HH34+HH35</f>
        <v>143670021.90000001</v>
      </c>
      <c r="HI31" s="68">
        <f t="shared" si="195"/>
        <v>111434048.25</v>
      </c>
      <c r="HJ31" s="68">
        <f t="shared" si="195"/>
        <v>110759728.3</v>
      </c>
      <c r="HK31" s="68">
        <f t="shared" si="195"/>
        <v>170872381.84</v>
      </c>
      <c r="HL31" s="68">
        <f t="shared" si="195"/>
        <v>75998933.930000007</v>
      </c>
      <c r="HM31" s="68">
        <f t="shared" si="195"/>
        <v>908459250.4000001</v>
      </c>
      <c r="HN31" s="68">
        <f>SUM(HB31:HM31)</f>
        <v>2103920126.47</v>
      </c>
      <c r="HO31" s="68">
        <f>+HO32+HO33+HO34+HO35</f>
        <v>340032293.85000002</v>
      </c>
      <c r="HP31" s="68">
        <f>+HP32+HP33+HP34+HP35</f>
        <v>103256821.06</v>
      </c>
      <c r="HQ31" s="68">
        <f>+HQ32+HQ33+HQ34+HQ35</f>
        <v>114508230.86</v>
      </c>
      <c r="HR31" s="68">
        <f>SUM(HR32+HR33+HR34)+HR35</f>
        <v>58582454.259999998</v>
      </c>
      <c r="HS31" s="68">
        <f>SUM(HS32+HS33+HS34)+HS35</f>
        <v>821928136.08000004</v>
      </c>
      <c r="HT31" s="68">
        <f t="shared" ref="HT31:ID31" si="196">SUM(HT32:HT35)</f>
        <v>553790883.47000003</v>
      </c>
      <c r="HU31" s="68">
        <f t="shared" si="196"/>
        <v>207686475.28</v>
      </c>
      <c r="HV31" s="68">
        <f t="shared" si="196"/>
        <v>198129785.34999999</v>
      </c>
      <c r="HW31" s="68">
        <f t="shared" si="196"/>
        <v>418024922.18000001</v>
      </c>
      <c r="HX31" s="68">
        <f t="shared" si="196"/>
        <v>73541302.959999993</v>
      </c>
      <c r="HY31" s="68">
        <f t="shared" si="196"/>
        <v>62088591.850000001</v>
      </c>
      <c r="HZ31" s="68">
        <f t="shared" si="196"/>
        <v>203795405.47</v>
      </c>
      <c r="IA31" s="68">
        <f>SUM(HO31:HZ31)</f>
        <v>3155365302.6699996</v>
      </c>
      <c r="IB31" s="68">
        <f t="shared" si="196"/>
        <v>221523175.66</v>
      </c>
      <c r="IC31" s="68">
        <f t="shared" si="196"/>
        <v>114600433.41</v>
      </c>
      <c r="ID31" s="68">
        <f t="shared" si="196"/>
        <v>100029297.85000001</v>
      </c>
      <c r="IE31" s="68">
        <f>SUM(IE32:IE35)</f>
        <v>378419674.25999999</v>
      </c>
      <c r="IF31" s="68">
        <f>SUM(IF32:IF35)</f>
        <v>15115726.889999999</v>
      </c>
      <c r="IG31" s="68">
        <f>SUM(IG32:IG35)</f>
        <v>111089473.72999999</v>
      </c>
      <c r="IH31" s="68">
        <f>SUM(IH32:IH35)</f>
        <v>148046851.34999999</v>
      </c>
      <c r="II31" s="68">
        <f>SUM(II32:II35)</f>
        <v>234866783.17000002</v>
      </c>
      <c r="IJ31" s="68">
        <f>SUM(IB31:II31)</f>
        <v>1323691416.3200002</v>
      </c>
    </row>
    <row r="32" spans="1:244" s="11" customFormat="1" ht="18.75" x14ac:dyDescent="0.3">
      <c r="A32" s="10" t="s">
        <v>36</v>
      </c>
      <c r="B32" s="18">
        <v>0</v>
      </c>
      <c r="C32" s="19">
        <v>0</v>
      </c>
      <c r="D32" s="19">
        <v>0</v>
      </c>
      <c r="E32" s="19">
        <v>11541605.34</v>
      </c>
      <c r="F32" s="19">
        <v>10838414.560000001</v>
      </c>
      <c r="G32" s="74">
        <v>0</v>
      </c>
      <c r="H32" s="74">
        <v>0</v>
      </c>
      <c r="I32" s="74">
        <v>0</v>
      </c>
      <c r="J32" s="74">
        <v>0</v>
      </c>
      <c r="K32" s="74">
        <v>0</v>
      </c>
      <c r="L32" s="74">
        <v>8181874.7599999998</v>
      </c>
      <c r="M32" s="74">
        <v>9743878.9299999997</v>
      </c>
      <c r="N32" s="26">
        <f t="shared" si="15"/>
        <v>40305773.589999996</v>
      </c>
      <c r="O32" s="19">
        <v>8541761.3699999992</v>
      </c>
      <c r="P32" s="19">
        <v>13456964.76</v>
      </c>
      <c r="Q32" s="19">
        <v>12327329.550000001</v>
      </c>
      <c r="R32" s="19">
        <v>9325627.2699999996</v>
      </c>
      <c r="S32" s="19">
        <v>13081622.310000001</v>
      </c>
      <c r="T32" s="19">
        <v>8256432.1799999997</v>
      </c>
      <c r="U32" s="19">
        <v>11634308.689999999</v>
      </c>
      <c r="V32" s="19">
        <v>10092962.300000001</v>
      </c>
      <c r="W32" s="19">
        <v>9465710.3800000008</v>
      </c>
      <c r="X32" s="19">
        <v>10583351.220000001</v>
      </c>
      <c r="Y32" s="19">
        <v>9473765.9000000004</v>
      </c>
      <c r="Z32" s="19">
        <v>12038110.5</v>
      </c>
      <c r="AA32" s="26">
        <f t="shared" ref="AA32:AA33" si="197">SUM(O32:Z32)</f>
        <v>128277946.43000001</v>
      </c>
      <c r="AB32" s="19">
        <v>12496698.34</v>
      </c>
      <c r="AC32" s="19">
        <v>17397100.600000001</v>
      </c>
      <c r="AD32" s="19">
        <v>12838590.869999999</v>
      </c>
      <c r="AE32" s="19">
        <v>13306914.289999999</v>
      </c>
      <c r="AF32" s="19">
        <v>11351491.6</v>
      </c>
      <c r="AG32" s="19">
        <v>8406498.7799999993</v>
      </c>
      <c r="AH32" s="19">
        <v>8940365.5</v>
      </c>
      <c r="AI32" s="19">
        <v>11581973.220000001</v>
      </c>
      <c r="AJ32" s="19">
        <v>16605997.24</v>
      </c>
      <c r="AK32" s="19">
        <v>9579398.8800000008</v>
      </c>
      <c r="AL32" s="19">
        <v>5465619.4299999997</v>
      </c>
      <c r="AM32" s="19">
        <v>18355291.550000001</v>
      </c>
      <c r="AN32" s="26">
        <v>146325940.30000001</v>
      </c>
      <c r="AO32" s="19">
        <v>14584215.49</v>
      </c>
      <c r="AP32" s="19">
        <v>19081854.18</v>
      </c>
      <c r="AQ32" s="19">
        <v>6679796.0999999996</v>
      </c>
      <c r="AR32" s="19">
        <v>7188061.4800000004</v>
      </c>
      <c r="AS32" s="19">
        <v>26747291.02</v>
      </c>
      <c r="AT32" s="19">
        <v>28209437.309999999</v>
      </c>
      <c r="AU32" s="19">
        <v>6832362.2999999998</v>
      </c>
      <c r="AV32" s="19">
        <v>23995091.530000001</v>
      </c>
      <c r="AW32" s="19">
        <v>7456992.25</v>
      </c>
      <c r="AX32" s="19">
        <v>7042435.4199999999</v>
      </c>
      <c r="AY32" s="19">
        <v>23849371.48</v>
      </c>
      <c r="AZ32" s="19">
        <v>25256773.780000001</v>
      </c>
      <c r="BA32" s="26">
        <f t="shared" si="17"/>
        <v>196923682.33999997</v>
      </c>
      <c r="BB32" s="19">
        <v>9317824.4399999995</v>
      </c>
      <c r="BC32" s="19">
        <v>31516507.98</v>
      </c>
      <c r="BD32" s="19">
        <v>24518614.969999999</v>
      </c>
      <c r="BE32" s="19">
        <v>25075811.469999999</v>
      </c>
      <c r="BF32" s="19">
        <v>22178635.370000001</v>
      </c>
      <c r="BG32" s="19">
        <v>18865528.920000002</v>
      </c>
      <c r="BH32" s="19">
        <v>16598573.359999999</v>
      </c>
      <c r="BI32" s="19">
        <v>18674776.940000001</v>
      </c>
      <c r="BJ32" s="19">
        <v>22277496.949999999</v>
      </c>
      <c r="BK32" s="19">
        <v>17080841.300000001</v>
      </c>
      <c r="BL32" s="19">
        <v>18531620.379999999</v>
      </c>
      <c r="BM32" s="19">
        <v>20347662.710000001</v>
      </c>
      <c r="BN32" s="26">
        <f t="shared" si="18"/>
        <v>244983894.78999999</v>
      </c>
      <c r="BO32" s="19">
        <v>24813517.899999999</v>
      </c>
      <c r="BP32" s="19">
        <v>1790519.25</v>
      </c>
      <c r="BQ32" s="19">
        <v>106500</v>
      </c>
      <c r="BR32" s="19">
        <v>545086.09</v>
      </c>
      <c r="BS32" s="19">
        <v>455249.35</v>
      </c>
      <c r="BT32" s="19">
        <v>557618.71</v>
      </c>
      <c r="BU32" s="19">
        <v>668098.54</v>
      </c>
      <c r="BV32" s="19">
        <v>483273.19</v>
      </c>
      <c r="BW32" s="19">
        <v>738327.24</v>
      </c>
      <c r="BX32" s="19">
        <v>444976.43</v>
      </c>
      <c r="BY32" s="19">
        <v>525303</v>
      </c>
      <c r="BZ32" s="19">
        <v>571597.86</v>
      </c>
      <c r="CA32" s="26">
        <f t="shared" si="19"/>
        <v>31700067.559999999</v>
      </c>
      <c r="CB32" s="19">
        <v>198000</v>
      </c>
      <c r="CC32" s="19">
        <v>106500</v>
      </c>
      <c r="CD32" s="19">
        <v>91500</v>
      </c>
      <c r="CE32" s="19">
        <v>487500</v>
      </c>
      <c r="CF32" s="19">
        <v>106500</v>
      </c>
      <c r="CG32" s="19">
        <v>91500</v>
      </c>
      <c r="CH32" s="19">
        <v>213000</v>
      </c>
      <c r="CI32" s="19">
        <v>198000</v>
      </c>
      <c r="CJ32" s="19">
        <v>91500</v>
      </c>
      <c r="CK32" s="19">
        <v>0</v>
      </c>
      <c r="CL32" s="19">
        <v>396000</v>
      </c>
      <c r="CM32" s="19">
        <v>0</v>
      </c>
      <c r="CN32" s="26">
        <f t="shared" si="20"/>
        <v>1980000</v>
      </c>
      <c r="CO32" s="19">
        <v>213000</v>
      </c>
      <c r="CP32" s="19">
        <v>106500</v>
      </c>
      <c r="CQ32" s="19">
        <v>564000</v>
      </c>
      <c r="CR32" s="19">
        <v>106500</v>
      </c>
      <c r="CS32" s="19">
        <v>198000</v>
      </c>
      <c r="CT32" s="19">
        <v>0</v>
      </c>
      <c r="CU32" s="19">
        <v>396000</v>
      </c>
      <c r="CV32" s="19">
        <v>106500</v>
      </c>
      <c r="CW32" s="19">
        <v>198000</v>
      </c>
      <c r="CX32" s="19">
        <v>289500</v>
      </c>
      <c r="CY32" s="19">
        <v>289500</v>
      </c>
      <c r="CZ32" s="19">
        <v>106500</v>
      </c>
      <c r="DA32" s="26">
        <f t="shared" si="21"/>
        <v>2574000</v>
      </c>
      <c r="DB32" s="19">
        <v>198000</v>
      </c>
      <c r="DC32" s="19">
        <v>106500</v>
      </c>
      <c r="DD32" s="19">
        <v>198000</v>
      </c>
      <c r="DE32" s="19">
        <v>106500</v>
      </c>
      <c r="DF32" s="19">
        <v>289500</v>
      </c>
      <c r="DG32" s="19">
        <v>106500</v>
      </c>
      <c r="DH32" s="19">
        <v>198000</v>
      </c>
      <c r="DI32" s="19">
        <v>106500</v>
      </c>
      <c r="DJ32" s="19">
        <v>198000</v>
      </c>
      <c r="DK32" s="19">
        <v>106500</v>
      </c>
      <c r="DL32" s="19">
        <v>289500</v>
      </c>
      <c r="DM32" s="19">
        <v>106500</v>
      </c>
      <c r="DN32" s="26">
        <f t="shared" si="23"/>
        <v>2010000</v>
      </c>
      <c r="DO32" s="49">
        <v>183000</v>
      </c>
      <c r="DP32" s="49">
        <v>396000</v>
      </c>
      <c r="DQ32" s="49">
        <v>198000</v>
      </c>
      <c r="DR32" s="49">
        <v>381000</v>
      </c>
      <c r="DS32" s="49">
        <v>183000</v>
      </c>
      <c r="DT32" s="49">
        <v>0</v>
      </c>
      <c r="DU32" s="49">
        <v>411000</v>
      </c>
      <c r="DV32" s="49">
        <v>198000</v>
      </c>
      <c r="DW32" s="49">
        <v>106500</v>
      </c>
      <c r="DX32" s="49">
        <v>289500</v>
      </c>
      <c r="DY32" s="49">
        <v>289500</v>
      </c>
      <c r="DZ32" s="49">
        <v>106500</v>
      </c>
      <c r="EA32" s="27">
        <f t="shared" si="116"/>
        <v>2742000</v>
      </c>
      <c r="EB32" s="49">
        <v>106500</v>
      </c>
      <c r="EC32" s="49">
        <v>289500</v>
      </c>
      <c r="ED32" s="49">
        <v>198000</v>
      </c>
      <c r="EE32" s="49">
        <v>106500</v>
      </c>
      <c r="EF32" s="49">
        <v>289500</v>
      </c>
      <c r="EG32" s="49">
        <v>106500</v>
      </c>
      <c r="EH32" s="49">
        <v>106500</v>
      </c>
      <c r="EI32" s="49">
        <v>289500</v>
      </c>
      <c r="EJ32" s="49">
        <v>106500</v>
      </c>
      <c r="EK32" s="49">
        <v>289500</v>
      </c>
      <c r="EL32" s="49">
        <v>289500</v>
      </c>
      <c r="EM32" s="49">
        <v>198000</v>
      </c>
      <c r="EN32" s="63">
        <f t="shared" si="39"/>
        <v>2376000</v>
      </c>
      <c r="EO32" s="49">
        <v>106500</v>
      </c>
      <c r="EP32" s="49">
        <v>106500</v>
      </c>
      <c r="EQ32" s="49">
        <v>289500</v>
      </c>
      <c r="ER32" s="49">
        <v>198000</v>
      </c>
      <c r="ES32" s="49">
        <v>198000</v>
      </c>
      <c r="ET32" s="49">
        <v>106500</v>
      </c>
      <c r="EU32" s="49">
        <v>106500</v>
      </c>
      <c r="EV32" s="49">
        <v>416000</v>
      </c>
      <c r="EW32" s="49">
        <v>198000</v>
      </c>
      <c r="EX32" s="49">
        <v>324500</v>
      </c>
      <c r="EY32" s="49">
        <v>106500</v>
      </c>
      <c r="EZ32" s="49">
        <v>233000</v>
      </c>
      <c r="FA32" s="63">
        <f t="shared" si="27"/>
        <v>2389500</v>
      </c>
      <c r="FB32" s="49">
        <v>289500</v>
      </c>
      <c r="FC32" s="49">
        <v>233000</v>
      </c>
      <c r="FD32" s="49">
        <v>136500</v>
      </c>
      <c r="FE32" s="49">
        <v>0</v>
      </c>
      <c r="FF32" s="49">
        <v>0</v>
      </c>
      <c r="FG32" s="49">
        <v>289500</v>
      </c>
      <c r="FH32" s="49">
        <v>319500</v>
      </c>
      <c r="FI32" s="49">
        <v>0</v>
      </c>
      <c r="FJ32" s="49">
        <v>472500</v>
      </c>
      <c r="FK32" s="49">
        <v>213000</v>
      </c>
      <c r="FL32" s="49">
        <v>106500</v>
      </c>
      <c r="FM32" s="49">
        <v>274500</v>
      </c>
      <c r="FN32" s="63">
        <f t="shared" si="28"/>
        <v>2334500</v>
      </c>
      <c r="FO32" s="49">
        <v>0</v>
      </c>
      <c r="FP32" s="49">
        <v>183000</v>
      </c>
      <c r="FQ32" s="49">
        <v>91500</v>
      </c>
      <c r="FR32" s="49">
        <v>0</v>
      </c>
      <c r="FS32" s="49">
        <v>183000</v>
      </c>
      <c r="FT32" s="49">
        <v>0</v>
      </c>
      <c r="FU32" s="49">
        <v>91500</v>
      </c>
      <c r="FV32" s="49">
        <v>0</v>
      </c>
      <c r="FW32" s="49">
        <v>91500</v>
      </c>
      <c r="FX32" s="49">
        <v>0</v>
      </c>
      <c r="FY32" s="49">
        <v>91500</v>
      </c>
      <c r="FZ32" s="49">
        <v>274500</v>
      </c>
      <c r="GA32" s="68">
        <f t="shared" si="30"/>
        <v>1006500</v>
      </c>
      <c r="GB32" s="49">
        <v>0</v>
      </c>
      <c r="GC32" s="49">
        <v>183000</v>
      </c>
      <c r="GD32" s="49">
        <v>0</v>
      </c>
      <c r="GE32" s="49">
        <v>91500</v>
      </c>
      <c r="GF32" s="49">
        <v>91500</v>
      </c>
      <c r="GG32" s="49">
        <v>0</v>
      </c>
      <c r="GH32" s="49">
        <v>91500</v>
      </c>
      <c r="GI32" s="49">
        <v>0</v>
      </c>
      <c r="GJ32" s="49">
        <v>0</v>
      </c>
      <c r="GK32" s="49">
        <v>0</v>
      </c>
      <c r="GL32" s="49">
        <v>0</v>
      </c>
      <c r="GM32" s="49">
        <v>0</v>
      </c>
      <c r="GN32" s="68">
        <v>457500</v>
      </c>
      <c r="GO32" s="49">
        <v>0</v>
      </c>
      <c r="GP32" s="49">
        <v>0</v>
      </c>
      <c r="GQ32" s="49">
        <v>0</v>
      </c>
      <c r="GR32" s="81">
        <v>0</v>
      </c>
      <c r="GS32" s="49">
        <v>1006500</v>
      </c>
      <c r="GT32" s="86">
        <v>91500</v>
      </c>
      <c r="GU32" s="86">
        <v>183000</v>
      </c>
      <c r="GV32" s="86">
        <v>0</v>
      </c>
      <c r="GW32" s="86">
        <v>91500</v>
      </c>
      <c r="GX32" s="86">
        <v>91500</v>
      </c>
      <c r="GY32" s="86">
        <v>0</v>
      </c>
      <c r="GZ32" s="86">
        <v>183000</v>
      </c>
      <c r="HA32" s="68">
        <f>SUM(GO32:GZ32)</f>
        <v>1647000</v>
      </c>
      <c r="HB32" s="86">
        <v>0</v>
      </c>
      <c r="HC32" s="86">
        <v>183000</v>
      </c>
      <c r="HD32" s="86">
        <v>91500</v>
      </c>
      <c r="HE32" s="86">
        <v>0</v>
      </c>
      <c r="HF32" s="86">
        <v>0</v>
      </c>
      <c r="HG32" s="86">
        <v>0</v>
      </c>
      <c r="HH32" s="86">
        <v>0</v>
      </c>
      <c r="HI32" s="86">
        <v>0</v>
      </c>
      <c r="HJ32" s="86">
        <v>0</v>
      </c>
      <c r="HK32" s="86">
        <v>0</v>
      </c>
      <c r="HL32" s="86">
        <v>0</v>
      </c>
      <c r="HM32" s="86">
        <v>0</v>
      </c>
      <c r="HN32" s="68">
        <f>SUM(HB32:HM32)</f>
        <v>274500</v>
      </c>
      <c r="HO32" s="86">
        <v>0</v>
      </c>
      <c r="HP32" s="86">
        <v>0</v>
      </c>
      <c r="HQ32" s="86">
        <v>0</v>
      </c>
      <c r="HR32" s="86">
        <v>0</v>
      </c>
      <c r="HS32" s="86">
        <v>0</v>
      </c>
      <c r="HT32" s="86">
        <v>0</v>
      </c>
      <c r="HU32" s="86">
        <v>0</v>
      </c>
      <c r="HV32" s="86">
        <v>0</v>
      </c>
      <c r="HW32" s="86">
        <v>0</v>
      </c>
      <c r="HX32" s="86">
        <v>0</v>
      </c>
      <c r="HY32" s="86">
        <v>0</v>
      </c>
      <c r="HZ32" s="86">
        <v>0</v>
      </c>
      <c r="IA32" s="68">
        <f t="shared" ref="IA32:IA35" si="198">SUM(HO32:HZ32)</f>
        <v>0</v>
      </c>
      <c r="IB32" s="86">
        <v>0</v>
      </c>
      <c r="IC32" s="86">
        <v>0</v>
      </c>
      <c r="ID32" s="86">
        <v>0</v>
      </c>
      <c r="IE32" s="86">
        <v>0</v>
      </c>
      <c r="IF32" s="86">
        <v>0</v>
      </c>
      <c r="IG32" s="86">
        <v>0</v>
      </c>
      <c r="IH32" s="86">
        <v>0</v>
      </c>
      <c r="II32" s="86">
        <v>0</v>
      </c>
      <c r="IJ32" s="68">
        <f t="shared" ref="IJ32:IJ35" si="199">SUM(IB32:II32)</f>
        <v>0</v>
      </c>
    </row>
    <row r="33" spans="1:244" s="11" customFormat="1" ht="18.75" x14ac:dyDescent="0.3">
      <c r="A33" s="10" t="s">
        <v>37</v>
      </c>
      <c r="B33" s="18">
        <v>0</v>
      </c>
      <c r="C33" s="23">
        <v>0</v>
      </c>
      <c r="D33" s="23">
        <v>0</v>
      </c>
      <c r="E33" s="75">
        <v>3262915</v>
      </c>
      <c r="F33" s="19">
        <v>3296280</v>
      </c>
      <c r="G33" s="74">
        <v>0</v>
      </c>
      <c r="H33" s="74">
        <v>0</v>
      </c>
      <c r="I33" s="74">
        <v>0</v>
      </c>
      <c r="J33" s="74">
        <v>0</v>
      </c>
      <c r="K33" s="74">
        <v>0</v>
      </c>
      <c r="L33" s="74">
        <v>2562395</v>
      </c>
      <c r="M33" s="74">
        <v>2840090</v>
      </c>
      <c r="N33" s="26">
        <f t="shared" si="15"/>
        <v>11961680</v>
      </c>
      <c r="O33" s="19">
        <v>2361105</v>
      </c>
      <c r="P33" s="19">
        <v>2378820</v>
      </c>
      <c r="Q33" s="19">
        <v>2944490</v>
      </c>
      <c r="R33" s="19">
        <v>2972425</v>
      </c>
      <c r="S33" s="19">
        <v>2706390</v>
      </c>
      <c r="T33" s="19">
        <v>2969230</v>
      </c>
      <c r="U33" s="19">
        <v>3143065</v>
      </c>
      <c r="V33" s="19">
        <v>2841800</v>
      </c>
      <c r="W33" s="19">
        <v>2769360</v>
      </c>
      <c r="X33" s="19">
        <v>3080150</v>
      </c>
      <c r="Y33" s="19">
        <v>2904415</v>
      </c>
      <c r="Z33" s="19">
        <v>3252810</v>
      </c>
      <c r="AA33" s="26">
        <f t="shared" si="197"/>
        <v>34324060</v>
      </c>
      <c r="AB33" s="19">
        <v>2429265</v>
      </c>
      <c r="AC33" s="19">
        <v>2840915.4</v>
      </c>
      <c r="AD33" s="19">
        <v>3392330</v>
      </c>
      <c r="AE33" s="19">
        <v>2996245</v>
      </c>
      <c r="AF33" s="19">
        <v>3016230</v>
      </c>
      <c r="AG33" s="19">
        <v>3276795</v>
      </c>
      <c r="AH33" s="19">
        <v>3198825</v>
      </c>
      <c r="AI33" s="19">
        <v>3242000</v>
      </c>
      <c r="AJ33" s="19">
        <v>3260905</v>
      </c>
      <c r="AK33" s="19">
        <v>3310745</v>
      </c>
      <c r="AL33" s="19">
        <v>3670965</v>
      </c>
      <c r="AM33" s="19">
        <v>3486210</v>
      </c>
      <c r="AN33" s="26">
        <v>38121430.399999999</v>
      </c>
      <c r="AO33" s="19">
        <v>2658110</v>
      </c>
      <c r="AP33" s="19">
        <v>3126080.59</v>
      </c>
      <c r="AQ33" s="19">
        <v>3383210</v>
      </c>
      <c r="AR33" s="19">
        <v>3185775</v>
      </c>
      <c r="AS33" s="19">
        <v>3336360</v>
      </c>
      <c r="AT33" s="19">
        <v>3309690</v>
      </c>
      <c r="AU33" s="19">
        <v>3305460</v>
      </c>
      <c r="AV33" s="19">
        <v>3271932.77</v>
      </c>
      <c r="AW33" s="19">
        <v>3308440</v>
      </c>
      <c r="AX33" s="19">
        <v>3420406.65</v>
      </c>
      <c r="AY33" s="19">
        <v>3366817</v>
      </c>
      <c r="AZ33" s="19">
        <v>3348865</v>
      </c>
      <c r="BA33" s="26">
        <f t="shared" si="17"/>
        <v>39021147.009999998</v>
      </c>
      <c r="BB33" s="19">
        <v>2590625</v>
      </c>
      <c r="BC33" s="19">
        <v>3225015.6</v>
      </c>
      <c r="BD33" s="19">
        <v>3705685</v>
      </c>
      <c r="BE33" s="19">
        <v>2935745</v>
      </c>
      <c r="BF33" s="19">
        <v>3497314.44</v>
      </c>
      <c r="BG33" s="19">
        <v>3097835</v>
      </c>
      <c r="BH33" s="19">
        <v>3541244.82</v>
      </c>
      <c r="BI33" s="19">
        <v>3464350</v>
      </c>
      <c r="BJ33" s="19">
        <v>3196325</v>
      </c>
      <c r="BK33" s="19">
        <v>3796886.9</v>
      </c>
      <c r="BL33" s="19">
        <v>3945020</v>
      </c>
      <c r="BM33" s="19">
        <v>3614763</v>
      </c>
      <c r="BN33" s="26">
        <f t="shared" si="18"/>
        <v>40610809.759999998</v>
      </c>
      <c r="BO33" s="19">
        <v>3239202.32</v>
      </c>
      <c r="BP33" s="19">
        <v>3040372.5</v>
      </c>
      <c r="BQ33" s="19">
        <v>3114840</v>
      </c>
      <c r="BR33" s="19">
        <v>3204900.17</v>
      </c>
      <c r="BS33" s="19">
        <v>3468229.83</v>
      </c>
      <c r="BT33" s="19">
        <v>3248272.5</v>
      </c>
      <c r="BU33" s="19">
        <v>3406072.5</v>
      </c>
      <c r="BV33" s="19">
        <v>3388090</v>
      </c>
      <c r="BW33" s="19">
        <v>3086995</v>
      </c>
      <c r="BX33" s="19">
        <v>3753521.36</v>
      </c>
      <c r="BY33" s="19">
        <v>3460492.7</v>
      </c>
      <c r="BZ33" s="19">
        <v>3390067.94</v>
      </c>
      <c r="CA33" s="26">
        <f t="shared" si="19"/>
        <v>39801056.82</v>
      </c>
      <c r="CB33" s="19">
        <v>2997090.33</v>
      </c>
      <c r="CC33" s="19">
        <v>2875432.72</v>
      </c>
      <c r="CD33" s="19">
        <v>3476905.87</v>
      </c>
      <c r="CE33" s="19">
        <v>3474780</v>
      </c>
      <c r="CF33" s="19">
        <v>3755022.96</v>
      </c>
      <c r="CG33" s="19">
        <v>3327135.54</v>
      </c>
      <c r="CH33" s="19">
        <v>3684696.47</v>
      </c>
      <c r="CI33" s="19">
        <v>3433369.53</v>
      </c>
      <c r="CJ33" s="19">
        <v>3466940</v>
      </c>
      <c r="CK33" s="19">
        <v>4088297.12</v>
      </c>
      <c r="CL33" s="19">
        <v>3582345</v>
      </c>
      <c r="CM33" s="19">
        <v>3966786.3</v>
      </c>
      <c r="CN33" s="26">
        <f t="shared" si="20"/>
        <v>42128801.839999996</v>
      </c>
      <c r="CO33" s="19">
        <v>3320009</v>
      </c>
      <c r="CP33" s="19">
        <v>3406100</v>
      </c>
      <c r="CQ33" s="19">
        <v>4231724.3099999996</v>
      </c>
      <c r="CR33" s="19">
        <v>3857235</v>
      </c>
      <c r="CS33" s="19">
        <v>4007790.01</v>
      </c>
      <c r="CT33" s="19">
        <v>4163762.83</v>
      </c>
      <c r="CU33" s="19">
        <v>4294865.43</v>
      </c>
      <c r="CV33" s="19">
        <v>3753595</v>
      </c>
      <c r="CW33" s="19">
        <v>3887550</v>
      </c>
      <c r="CX33" s="19">
        <v>4104709.13</v>
      </c>
      <c r="CY33" s="19">
        <v>3770540</v>
      </c>
      <c r="CZ33" s="19">
        <v>3913720</v>
      </c>
      <c r="DA33" s="26">
        <f t="shared" si="21"/>
        <v>46711600.710000001</v>
      </c>
      <c r="DB33" s="19">
        <v>3220454.72</v>
      </c>
      <c r="DC33" s="19">
        <v>3625423.08</v>
      </c>
      <c r="DD33" s="19">
        <v>4071055</v>
      </c>
      <c r="DE33" s="19">
        <v>3862470</v>
      </c>
      <c r="DF33" s="19">
        <v>3999330</v>
      </c>
      <c r="DG33" s="19">
        <v>4172080</v>
      </c>
      <c r="DH33" s="19">
        <v>3922715</v>
      </c>
      <c r="DI33" s="19">
        <v>4251565</v>
      </c>
      <c r="DJ33" s="19">
        <v>4047656.72</v>
      </c>
      <c r="DK33" s="19">
        <v>3947355</v>
      </c>
      <c r="DL33" s="19">
        <v>4375933.95</v>
      </c>
      <c r="DM33" s="19">
        <v>4297793.67</v>
      </c>
      <c r="DN33" s="26">
        <f t="shared" si="23"/>
        <v>47793832.140000008</v>
      </c>
      <c r="DO33" s="49">
        <v>3408065</v>
      </c>
      <c r="DP33" s="49">
        <v>3635095</v>
      </c>
      <c r="DQ33" s="49">
        <v>4439215</v>
      </c>
      <c r="DR33" s="49">
        <v>3727340</v>
      </c>
      <c r="DS33" s="49">
        <v>4300215</v>
      </c>
      <c r="DT33" s="49">
        <v>4134800</v>
      </c>
      <c r="DU33" s="49">
        <v>4056830</v>
      </c>
      <c r="DV33" s="49">
        <v>4876418.53</v>
      </c>
      <c r="DW33" s="49">
        <v>3528950</v>
      </c>
      <c r="DX33" s="49">
        <v>4524185</v>
      </c>
      <c r="DY33" s="49">
        <v>4732535</v>
      </c>
      <c r="DZ33" s="49">
        <v>4479345</v>
      </c>
      <c r="EA33" s="27">
        <f t="shared" si="116"/>
        <v>49842993.530000001</v>
      </c>
      <c r="EB33" s="49">
        <v>4017990</v>
      </c>
      <c r="EC33" s="49">
        <v>4036710</v>
      </c>
      <c r="ED33" s="49">
        <v>4574180</v>
      </c>
      <c r="EE33" s="49">
        <v>4369615</v>
      </c>
      <c r="EF33" s="49">
        <v>5069575</v>
      </c>
      <c r="EG33" s="49">
        <v>4799694.8099999996</v>
      </c>
      <c r="EH33" s="49">
        <v>4788700</v>
      </c>
      <c r="EI33" s="49">
        <v>4891645</v>
      </c>
      <c r="EJ33" s="49">
        <v>4222445</v>
      </c>
      <c r="EK33" s="49">
        <v>5117085</v>
      </c>
      <c r="EL33" s="49">
        <v>4392164.99</v>
      </c>
      <c r="EM33" s="49">
        <v>4110580</v>
      </c>
      <c r="EN33" s="63">
        <f t="shared" si="39"/>
        <v>54390384.800000004</v>
      </c>
      <c r="EO33" s="49">
        <v>940750</v>
      </c>
      <c r="EP33" s="49">
        <v>170740</v>
      </c>
      <c r="EQ33" s="49">
        <v>145490</v>
      </c>
      <c r="ER33" s="49">
        <v>107010</v>
      </c>
      <c r="ES33" s="49">
        <v>155890</v>
      </c>
      <c r="ET33" s="49">
        <v>77310</v>
      </c>
      <c r="EU33" s="49">
        <v>101725</v>
      </c>
      <c r="EV33" s="49">
        <v>225830</v>
      </c>
      <c r="EW33" s="49">
        <v>128965</v>
      </c>
      <c r="EX33" s="49">
        <v>95265</v>
      </c>
      <c r="EY33" s="49">
        <v>88240</v>
      </c>
      <c r="EZ33" s="49">
        <v>55065</v>
      </c>
      <c r="FA33" s="63">
        <f t="shared" si="27"/>
        <v>2292280</v>
      </c>
      <c r="FB33" s="49">
        <v>105505</v>
      </c>
      <c r="FC33" s="49">
        <v>84910</v>
      </c>
      <c r="FD33" s="49">
        <v>49720</v>
      </c>
      <c r="FE33" s="49">
        <v>20575</v>
      </c>
      <c r="FF33" s="49">
        <v>75310</v>
      </c>
      <c r="FG33" s="49">
        <v>79680</v>
      </c>
      <c r="FH33" s="49">
        <v>78900</v>
      </c>
      <c r="FI33" s="49">
        <v>165460.35</v>
      </c>
      <c r="FJ33" s="49">
        <v>128136.23</v>
      </c>
      <c r="FK33" s="49">
        <v>100115</v>
      </c>
      <c r="FL33" s="49">
        <v>114080</v>
      </c>
      <c r="FM33" s="49">
        <v>74125.08</v>
      </c>
      <c r="FN33" s="63">
        <f t="shared" si="28"/>
        <v>1076516.6599999999</v>
      </c>
      <c r="FO33" s="49">
        <v>97390</v>
      </c>
      <c r="FP33" s="49">
        <v>104860</v>
      </c>
      <c r="FQ33" s="49">
        <v>110335</v>
      </c>
      <c r="FR33" s="49">
        <v>105980</v>
      </c>
      <c r="FS33" s="49">
        <v>90145</v>
      </c>
      <c r="FT33" s="49">
        <v>116415</v>
      </c>
      <c r="FU33" s="49">
        <v>119195</v>
      </c>
      <c r="FV33" s="49">
        <v>96745</v>
      </c>
      <c r="FW33" s="49">
        <v>94485</v>
      </c>
      <c r="FX33" s="49">
        <v>108720</v>
      </c>
      <c r="FY33" s="49">
        <v>103420</v>
      </c>
      <c r="FZ33" s="49">
        <v>52080</v>
      </c>
      <c r="GA33" s="68">
        <f t="shared" si="30"/>
        <v>1199770</v>
      </c>
      <c r="GB33" s="49">
        <v>90520</v>
      </c>
      <c r="GC33" s="49">
        <v>147740</v>
      </c>
      <c r="GD33" s="49">
        <v>108075</v>
      </c>
      <c r="GE33" s="49">
        <v>67170</v>
      </c>
      <c r="GF33" s="49">
        <v>112915</v>
      </c>
      <c r="GG33" s="49">
        <v>133485</v>
      </c>
      <c r="GH33" s="49">
        <v>87005</v>
      </c>
      <c r="GI33" s="49">
        <v>91910</v>
      </c>
      <c r="GJ33" s="49">
        <v>79120</v>
      </c>
      <c r="GK33" s="49">
        <v>71800</v>
      </c>
      <c r="GL33" s="49">
        <v>111385</v>
      </c>
      <c r="GM33" s="49">
        <v>63260</v>
      </c>
      <c r="GN33" s="68">
        <v>1164385</v>
      </c>
      <c r="GO33" s="49">
        <v>132815</v>
      </c>
      <c r="GP33" s="49">
        <v>101410</v>
      </c>
      <c r="GQ33" s="49">
        <v>97480</v>
      </c>
      <c r="GR33" s="81">
        <v>101810</v>
      </c>
      <c r="GS33" s="49">
        <v>196999.32</v>
      </c>
      <c r="GT33" s="86">
        <v>99295</v>
      </c>
      <c r="GU33" s="86">
        <v>97925</v>
      </c>
      <c r="GV33" s="86">
        <v>100175</v>
      </c>
      <c r="GW33" s="86">
        <v>102665</v>
      </c>
      <c r="GX33" s="86">
        <v>106550</v>
      </c>
      <c r="GY33" s="86">
        <v>87355</v>
      </c>
      <c r="GZ33" s="86">
        <v>35525</v>
      </c>
      <c r="HA33" s="68">
        <f t="shared" ref="HA33:HA35" si="200">SUM(GO33:GZ33)</f>
        <v>1260004.32</v>
      </c>
      <c r="HB33" s="86">
        <v>149460</v>
      </c>
      <c r="HC33" s="86">
        <v>91610</v>
      </c>
      <c r="HD33" s="86">
        <v>104750</v>
      </c>
      <c r="HE33" s="86">
        <v>127560</v>
      </c>
      <c r="HF33" s="86">
        <v>123300</v>
      </c>
      <c r="HG33" s="86">
        <v>157820</v>
      </c>
      <c r="HH33" s="86">
        <v>131090</v>
      </c>
      <c r="HI33" s="86">
        <v>78685</v>
      </c>
      <c r="HJ33" s="86">
        <v>79365</v>
      </c>
      <c r="HK33" s="86">
        <v>130730</v>
      </c>
      <c r="HL33" s="86">
        <v>77745</v>
      </c>
      <c r="HM33" s="86">
        <v>80285</v>
      </c>
      <c r="HN33" s="68">
        <f>SUM(HB33:HM33)</f>
        <v>1332400</v>
      </c>
      <c r="HO33" s="86">
        <v>147530</v>
      </c>
      <c r="HP33" s="86">
        <v>138795</v>
      </c>
      <c r="HQ33" s="86">
        <v>76995</v>
      </c>
      <c r="HR33" s="86">
        <v>170150</v>
      </c>
      <c r="HS33" s="86">
        <v>120090</v>
      </c>
      <c r="HT33" s="86">
        <v>157110</v>
      </c>
      <c r="HU33" s="86">
        <v>136295</v>
      </c>
      <c r="HV33" s="86">
        <v>86830</v>
      </c>
      <c r="HW33" s="86">
        <v>102480</v>
      </c>
      <c r="HX33" s="86">
        <v>132650</v>
      </c>
      <c r="HY33" s="86">
        <v>81055</v>
      </c>
      <c r="HZ33" s="86">
        <v>62220</v>
      </c>
      <c r="IA33" s="68">
        <f t="shared" si="198"/>
        <v>1412200</v>
      </c>
      <c r="IB33" s="86">
        <v>90735</v>
      </c>
      <c r="IC33" s="86">
        <v>93615</v>
      </c>
      <c r="ID33" s="86">
        <v>166430</v>
      </c>
      <c r="IE33" s="86">
        <v>80555</v>
      </c>
      <c r="IF33" s="86">
        <v>924081.6</v>
      </c>
      <c r="IG33" s="86">
        <v>105745</v>
      </c>
      <c r="IH33" s="86">
        <v>205960</v>
      </c>
      <c r="II33" s="86">
        <v>133980</v>
      </c>
      <c r="IJ33" s="68">
        <f t="shared" si="199"/>
        <v>1801101.6</v>
      </c>
    </row>
    <row r="34" spans="1:244" s="11" customFormat="1" ht="18.75" x14ac:dyDescent="0.3">
      <c r="A34" s="10" t="s">
        <v>51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77">
        <v>0</v>
      </c>
      <c r="H34" s="77">
        <v>0</v>
      </c>
      <c r="I34" s="77">
        <v>0</v>
      </c>
      <c r="J34" s="77">
        <v>0</v>
      </c>
      <c r="K34" s="77">
        <v>0</v>
      </c>
      <c r="L34" s="77">
        <v>0</v>
      </c>
      <c r="M34" s="77">
        <v>0</v>
      </c>
      <c r="N34" s="71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0</v>
      </c>
      <c r="AA34" s="71">
        <v>0</v>
      </c>
      <c r="AB34" s="18">
        <v>0</v>
      </c>
      <c r="AC34" s="18">
        <v>0</v>
      </c>
      <c r="AD34" s="18">
        <v>0</v>
      </c>
      <c r="AE34" s="18">
        <v>0</v>
      </c>
      <c r="AF34" s="18">
        <v>0</v>
      </c>
      <c r="AG34" s="18">
        <v>0</v>
      </c>
      <c r="AH34" s="18">
        <v>0</v>
      </c>
      <c r="AI34" s="18">
        <v>0</v>
      </c>
      <c r="AJ34" s="18">
        <v>0</v>
      </c>
      <c r="AK34" s="18">
        <v>0</v>
      </c>
      <c r="AL34" s="18">
        <v>0</v>
      </c>
      <c r="AM34" s="18">
        <v>0</v>
      </c>
      <c r="AN34" s="71">
        <v>0</v>
      </c>
      <c r="AO34" s="18">
        <v>0</v>
      </c>
      <c r="AP34" s="18">
        <v>0</v>
      </c>
      <c r="AQ34" s="18">
        <v>0</v>
      </c>
      <c r="AR34" s="18">
        <v>0</v>
      </c>
      <c r="AS34" s="18">
        <v>0</v>
      </c>
      <c r="AT34" s="18">
        <v>0</v>
      </c>
      <c r="AU34" s="18">
        <v>0</v>
      </c>
      <c r="AV34" s="18">
        <v>0</v>
      </c>
      <c r="AW34" s="18">
        <v>0</v>
      </c>
      <c r="AX34" s="18">
        <v>0</v>
      </c>
      <c r="AY34" s="18">
        <v>0</v>
      </c>
      <c r="AZ34" s="18">
        <v>0</v>
      </c>
      <c r="BA34" s="71">
        <v>0</v>
      </c>
      <c r="BB34" s="18">
        <v>0</v>
      </c>
      <c r="BC34" s="18">
        <v>0</v>
      </c>
      <c r="BD34" s="18">
        <v>0</v>
      </c>
      <c r="BE34" s="18">
        <v>0</v>
      </c>
      <c r="BF34" s="18">
        <v>0</v>
      </c>
      <c r="BG34" s="18">
        <v>0</v>
      </c>
      <c r="BH34" s="18">
        <v>0</v>
      </c>
      <c r="BI34" s="18">
        <v>0</v>
      </c>
      <c r="BJ34" s="18">
        <v>0</v>
      </c>
      <c r="BK34" s="18">
        <v>0</v>
      </c>
      <c r="BL34" s="18">
        <v>0</v>
      </c>
      <c r="BM34" s="18">
        <v>0</v>
      </c>
      <c r="BN34" s="71">
        <v>0</v>
      </c>
      <c r="BO34" s="18">
        <v>0</v>
      </c>
      <c r="BP34" s="18">
        <v>0</v>
      </c>
      <c r="BQ34" s="18">
        <v>0</v>
      </c>
      <c r="BR34" s="18">
        <v>0</v>
      </c>
      <c r="BS34" s="18">
        <v>0</v>
      </c>
      <c r="BT34" s="18">
        <v>0</v>
      </c>
      <c r="BU34" s="18">
        <v>0</v>
      </c>
      <c r="BV34" s="18">
        <v>0</v>
      </c>
      <c r="BW34" s="18">
        <v>0</v>
      </c>
      <c r="BX34" s="18">
        <v>0</v>
      </c>
      <c r="BY34" s="18">
        <v>0</v>
      </c>
      <c r="BZ34" s="18">
        <v>0</v>
      </c>
      <c r="CA34" s="71">
        <v>0</v>
      </c>
      <c r="CB34" s="18">
        <v>0</v>
      </c>
      <c r="CC34" s="18">
        <v>0</v>
      </c>
      <c r="CD34" s="18">
        <v>0</v>
      </c>
      <c r="CE34" s="18">
        <v>0</v>
      </c>
      <c r="CF34" s="18">
        <v>0</v>
      </c>
      <c r="CG34" s="18">
        <v>0</v>
      </c>
      <c r="CH34" s="18">
        <v>0</v>
      </c>
      <c r="CI34" s="18">
        <v>0</v>
      </c>
      <c r="CJ34" s="18">
        <v>0</v>
      </c>
      <c r="CK34" s="18">
        <v>0</v>
      </c>
      <c r="CL34" s="18">
        <v>0</v>
      </c>
      <c r="CM34" s="18">
        <v>0</v>
      </c>
      <c r="CN34" s="71">
        <v>0</v>
      </c>
      <c r="CO34" s="18">
        <v>0</v>
      </c>
      <c r="CP34" s="18">
        <v>0</v>
      </c>
      <c r="CQ34" s="18">
        <v>0</v>
      </c>
      <c r="CR34" s="18">
        <v>0</v>
      </c>
      <c r="CS34" s="18">
        <v>0</v>
      </c>
      <c r="CT34" s="18">
        <v>0</v>
      </c>
      <c r="CU34" s="18">
        <v>0</v>
      </c>
      <c r="CV34" s="18">
        <v>0</v>
      </c>
      <c r="CW34" s="18">
        <v>0</v>
      </c>
      <c r="CX34" s="18">
        <v>0</v>
      </c>
      <c r="CY34" s="18">
        <v>0</v>
      </c>
      <c r="CZ34" s="18">
        <v>0</v>
      </c>
      <c r="DA34" s="71">
        <v>0</v>
      </c>
      <c r="DB34" s="18">
        <v>0</v>
      </c>
      <c r="DC34" s="18">
        <v>0</v>
      </c>
      <c r="DD34" s="18">
        <v>0</v>
      </c>
      <c r="DE34" s="18">
        <v>0</v>
      </c>
      <c r="DF34" s="18">
        <v>0</v>
      </c>
      <c r="DG34" s="18">
        <v>0</v>
      </c>
      <c r="DH34" s="18">
        <v>0</v>
      </c>
      <c r="DI34" s="18">
        <v>0</v>
      </c>
      <c r="DJ34" s="18">
        <v>0</v>
      </c>
      <c r="DK34" s="18">
        <v>0</v>
      </c>
      <c r="DL34" s="18">
        <v>0</v>
      </c>
      <c r="DM34" s="18">
        <v>0</v>
      </c>
      <c r="DN34" s="71">
        <v>0</v>
      </c>
      <c r="DO34" s="18">
        <v>0</v>
      </c>
      <c r="DP34" s="18">
        <v>0</v>
      </c>
      <c r="DQ34" s="18">
        <v>0</v>
      </c>
      <c r="DR34" s="18">
        <v>0</v>
      </c>
      <c r="DS34" s="18">
        <v>0</v>
      </c>
      <c r="DT34" s="18">
        <v>0</v>
      </c>
      <c r="DU34" s="18">
        <v>0</v>
      </c>
      <c r="DV34" s="18">
        <v>0</v>
      </c>
      <c r="DW34" s="18">
        <v>0</v>
      </c>
      <c r="DX34" s="18">
        <v>0</v>
      </c>
      <c r="DY34" s="18">
        <v>0</v>
      </c>
      <c r="DZ34" s="18">
        <v>0</v>
      </c>
      <c r="EA34" s="71">
        <v>0</v>
      </c>
      <c r="EB34" s="18">
        <v>0</v>
      </c>
      <c r="EC34" s="18">
        <v>0</v>
      </c>
      <c r="ED34" s="18">
        <v>0</v>
      </c>
      <c r="EE34" s="18">
        <v>0</v>
      </c>
      <c r="EF34" s="18">
        <v>0</v>
      </c>
      <c r="EG34" s="18">
        <v>0</v>
      </c>
      <c r="EH34" s="18">
        <v>0</v>
      </c>
      <c r="EI34" s="18">
        <v>0</v>
      </c>
      <c r="EJ34" s="18">
        <v>0</v>
      </c>
      <c r="EK34" s="18">
        <v>0</v>
      </c>
      <c r="EL34" s="18">
        <v>0</v>
      </c>
      <c r="EM34" s="18">
        <v>0</v>
      </c>
      <c r="EN34" s="71">
        <v>0</v>
      </c>
      <c r="EO34" s="18">
        <v>0</v>
      </c>
      <c r="EP34" s="18">
        <v>0</v>
      </c>
      <c r="EQ34" s="18">
        <v>0</v>
      </c>
      <c r="ER34" s="18">
        <v>0</v>
      </c>
      <c r="ES34" s="18">
        <v>0</v>
      </c>
      <c r="ET34" s="18">
        <v>0</v>
      </c>
      <c r="EU34" s="18">
        <v>0</v>
      </c>
      <c r="EV34" s="18">
        <v>0</v>
      </c>
      <c r="EW34" s="18">
        <v>0</v>
      </c>
      <c r="EX34" s="18">
        <v>0</v>
      </c>
      <c r="EY34" s="18">
        <v>0</v>
      </c>
      <c r="EZ34" s="18">
        <v>0</v>
      </c>
      <c r="FA34" s="71">
        <v>0</v>
      </c>
      <c r="FB34" s="18">
        <v>0</v>
      </c>
      <c r="FC34" s="18">
        <v>0</v>
      </c>
      <c r="FD34" s="18">
        <v>0</v>
      </c>
      <c r="FE34" s="18">
        <v>0</v>
      </c>
      <c r="FF34" s="18">
        <v>0</v>
      </c>
      <c r="FG34" s="18">
        <v>0</v>
      </c>
      <c r="FH34" s="18">
        <v>0</v>
      </c>
      <c r="FI34" s="18">
        <v>0</v>
      </c>
      <c r="FJ34" s="18">
        <v>0</v>
      </c>
      <c r="FK34" s="18">
        <v>0</v>
      </c>
      <c r="FL34" s="18">
        <v>0</v>
      </c>
      <c r="FM34" s="18">
        <v>0</v>
      </c>
      <c r="FN34" s="71">
        <v>0</v>
      </c>
      <c r="FO34" s="18">
        <v>0</v>
      </c>
      <c r="FP34" s="18">
        <v>0</v>
      </c>
      <c r="FQ34" s="18">
        <v>0</v>
      </c>
      <c r="FR34" s="18">
        <v>0</v>
      </c>
      <c r="FS34" s="18">
        <v>0</v>
      </c>
      <c r="FT34" s="18">
        <v>0</v>
      </c>
      <c r="FU34" s="18">
        <v>0</v>
      </c>
      <c r="FV34" s="18">
        <v>0</v>
      </c>
      <c r="FW34" s="18">
        <v>0</v>
      </c>
      <c r="FX34" s="18">
        <v>0</v>
      </c>
      <c r="FY34" s="18">
        <v>0</v>
      </c>
      <c r="FZ34" s="18">
        <v>0</v>
      </c>
      <c r="GA34" s="72">
        <v>0</v>
      </c>
      <c r="GB34" s="18">
        <v>0</v>
      </c>
      <c r="GC34" s="18">
        <v>0</v>
      </c>
      <c r="GD34" s="18">
        <v>0</v>
      </c>
      <c r="GE34" s="18">
        <v>0</v>
      </c>
      <c r="GF34" s="18">
        <v>0</v>
      </c>
      <c r="GG34" s="18">
        <v>0</v>
      </c>
      <c r="GH34" s="18">
        <v>0</v>
      </c>
      <c r="GI34" s="18">
        <v>0</v>
      </c>
      <c r="GJ34" s="18">
        <v>0</v>
      </c>
      <c r="GK34" s="73">
        <v>128779736</v>
      </c>
      <c r="GL34" s="49">
        <v>0</v>
      </c>
      <c r="GM34" s="49">
        <v>0</v>
      </c>
      <c r="GN34" s="68">
        <v>128779736</v>
      </c>
      <c r="GO34" s="49">
        <v>0</v>
      </c>
      <c r="GP34" s="49">
        <v>732131057.33000004</v>
      </c>
      <c r="GQ34" s="49">
        <v>0</v>
      </c>
      <c r="GR34" s="81">
        <v>0</v>
      </c>
      <c r="GS34" s="49">
        <v>0</v>
      </c>
      <c r="GT34" s="86">
        <v>0</v>
      </c>
      <c r="GU34" s="86">
        <v>0</v>
      </c>
      <c r="GV34" s="86">
        <v>0</v>
      </c>
      <c r="GW34" s="86">
        <v>0</v>
      </c>
      <c r="GX34" s="86">
        <v>0</v>
      </c>
      <c r="GY34" s="86">
        <v>0</v>
      </c>
      <c r="GZ34" s="86">
        <v>0</v>
      </c>
      <c r="HA34" s="68">
        <f t="shared" si="200"/>
        <v>732131057.33000004</v>
      </c>
      <c r="HB34" s="86">
        <v>0</v>
      </c>
      <c r="HC34" s="86">
        <v>0</v>
      </c>
      <c r="HD34" s="86">
        <v>0</v>
      </c>
      <c r="HE34" s="86">
        <v>0</v>
      </c>
      <c r="HF34" s="86">
        <v>0</v>
      </c>
      <c r="HG34" s="86">
        <v>0</v>
      </c>
      <c r="HH34" s="86">
        <v>0</v>
      </c>
      <c r="HI34" s="86">
        <v>0</v>
      </c>
      <c r="HJ34" s="86">
        <v>0</v>
      </c>
      <c r="HK34" s="86">
        <v>0</v>
      </c>
      <c r="HL34" s="86">
        <v>0</v>
      </c>
      <c r="HM34" s="86">
        <v>0</v>
      </c>
      <c r="HN34" s="68">
        <f>SUM(HB34:HM34)</f>
        <v>0</v>
      </c>
      <c r="HO34" s="86">
        <v>137696942.25</v>
      </c>
      <c r="HP34" s="86">
        <v>0</v>
      </c>
      <c r="HQ34" s="86">
        <v>0</v>
      </c>
      <c r="HR34" s="86">
        <v>0</v>
      </c>
      <c r="HS34" s="86">
        <v>134055041.83</v>
      </c>
      <c r="HT34" s="86">
        <v>0</v>
      </c>
      <c r="HU34" s="86">
        <v>0</v>
      </c>
      <c r="HV34" s="86">
        <v>0</v>
      </c>
      <c r="HW34" s="86">
        <v>0</v>
      </c>
      <c r="HX34" s="86">
        <v>0</v>
      </c>
      <c r="HY34" s="86">
        <v>0</v>
      </c>
      <c r="HZ34" s="86">
        <v>0</v>
      </c>
      <c r="IA34" s="68">
        <f t="shared" si="198"/>
        <v>271751984.07999998</v>
      </c>
      <c r="IB34" s="86">
        <v>0</v>
      </c>
      <c r="IC34" s="86">
        <v>0</v>
      </c>
      <c r="ID34" s="86">
        <v>0</v>
      </c>
      <c r="IE34" s="86">
        <v>0</v>
      </c>
      <c r="IF34" s="86">
        <v>0</v>
      </c>
      <c r="IG34" s="86">
        <v>0</v>
      </c>
      <c r="IH34" s="86">
        <v>0</v>
      </c>
      <c r="II34" s="86">
        <v>0</v>
      </c>
      <c r="IJ34" s="68">
        <f t="shared" si="199"/>
        <v>0</v>
      </c>
    </row>
    <row r="35" spans="1:244" s="11" customFormat="1" ht="18.75" x14ac:dyDescent="0.3">
      <c r="A35" s="10" t="s">
        <v>46</v>
      </c>
      <c r="B35" s="18">
        <v>22493133.31000042</v>
      </c>
      <c r="C35" s="19">
        <v>4721184.5500001907</v>
      </c>
      <c r="D35" s="19">
        <v>1145831.220000267</v>
      </c>
      <c r="E35" s="19">
        <v>50044354.479999542</v>
      </c>
      <c r="F35" s="19">
        <v>2353023.1799993515</v>
      </c>
      <c r="G35" s="74">
        <v>27248626.600001335</v>
      </c>
      <c r="H35" s="74">
        <v>1548357.5399990082</v>
      </c>
      <c r="I35" s="74">
        <v>2454991.0200004578</v>
      </c>
      <c r="J35" s="74">
        <v>4338489.9199995995</v>
      </c>
      <c r="K35" s="74">
        <v>12238793.75</v>
      </c>
      <c r="L35" s="74">
        <v>2289045.1399993896</v>
      </c>
      <c r="M35" s="74">
        <v>40697409.970000267</v>
      </c>
      <c r="N35" s="26">
        <f t="shared" ref="N35" si="201">SUM(B35:M35)</f>
        <v>171573240.67999983</v>
      </c>
      <c r="O35" s="19">
        <v>6741384.6999998093</v>
      </c>
      <c r="P35" s="19">
        <v>3814062.5100002289</v>
      </c>
      <c r="Q35" s="19">
        <v>6594708.4499998093</v>
      </c>
      <c r="R35" s="19">
        <v>17524597.860000134</v>
      </c>
      <c r="S35" s="19">
        <v>6704709.9100003242</v>
      </c>
      <c r="T35" s="19">
        <v>3702822.6700000763</v>
      </c>
      <c r="U35" s="19">
        <v>3243820.349998951</v>
      </c>
      <c r="V35" s="19">
        <v>2724213.4399991035</v>
      </c>
      <c r="W35" s="19">
        <v>20046695.569999218</v>
      </c>
      <c r="X35" s="19">
        <v>3412942.6499996185</v>
      </c>
      <c r="Y35" s="19">
        <v>3694108.7600002289</v>
      </c>
      <c r="Z35" s="19">
        <v>24020249.140000343</v>
      </c>
      <c r="AA35" s="26">
        <f t="shared" ref="AA35" si="202">SUM(O35:Z35)</f>
        <v>102224316.00999784</v>
      </c>
      <c r="AB35" s="19">
        <v>7315940.6799998283</v>
      </c>
      <c r="AC35" s="19">
        <v>21611072.240000248</v>
      </c>
      <c r="AD35" s="19">
        <v>7220163.9100008011</v>
      </c>
      <c r="AE35" s="19">
        <v>7539182.9699993134</v>
      </c>
      <c r="AF35" s="19">
        <v>7438844.359998703</v>
      </c>
      <c r="AG35" s="19">
        <v>9783856.779999733</v>
      </c>
      <c r="AH35" s="19">
        <v>10016942.529998779</v>
      </c>
      <c r="AI35" s="19">
        <v>6365551.1000003815</v>
      </c>
      <c r="AJ35" s="19">
        <v>15351999.050000191</v>
      </c>
      <c r="AK35" s="19">
        <v>6656047.0999994278</v>
      </c>
      <c r="AL35" s="19">
        <v>9618097.57999897</v>
      </c>
      <c r="AM35" s="19">
        <v>23086752.340000153</v>
      </c>
      <c r="AN35" s="26">
        <v>132004450.63999653</v>
      </c>
      <c r="AO35" s="19">
        <v>16663998.100000381</v>
      </c>
      <c r="AP35" s="19">
        <v>7504641.9799985886</v>
      </c>
      <c r="AQ35" s="19">
        <v>9064025.1499986649</v>
      </c>
      <c r="AR35" s="19">
        <v>6979937.6999998093</v>
      </c>
      <c r="AS35" s="19">
        <v>12882854.939998627</v>
      </c>
      <c r="AT35" s="19">
        <v>13687418.930000305</v>
      </c>
      <c r="AU35" s="19">
        <v>7575197.3599996567</v>
      </c>
      <c r="AV35" s="19">
        <v>2568127.4799985886</v>
      </c>
      <c r="AW35" s="19">
        <v>12745090.800000191</v>
      </c>
      <c r="AX35" s="19">
        <v>1743108.1199998856</v>
      </c>
      <c r="AY35" s="19">
        <v>2047362.5999994278</v>
      </c>
      <c r="AZ35" s="19">
        <v>580612.04999923706</v>
      </c>
      <c r="BA35" s="26">
        <f t="shared" ref="BA35" si="203">SUM(AO35:AZ35)</f>
        <v>94042375.209993362</v>
      </c>
      <c r="BB35" s="19">
        <v>660197.42000007629</v>
      </c>
      <c r="BC35" s="19">
        <v>341256.93999958038</v>
      </c>
      <c r="BD35" s="19">
        <v>797609.74000072479</v>
      </c>
      <c r="BE35" s="19">
        <v>1473462.1399993896</v>
      </c>
      <c r="BF35" s="19">
        <v>492284.91000080109</v>
      </c>
      <c r="BG35" s="19">
        <v>1118580.0199995041</v>
      </c>
      <c r="BH35" s="19">
        <v>673827.10999965668</v>
      </c>
      <c r="BI35" s="19">
        <v>533837.00000095367</v>
      </c>
      <c r="BJ35" s="19">
        <v>1578935.7400007248</v>
      </c>
      <c r="BK35" s="19">
        <v>576751.77999973297</v>
      </c>
      <c r="BL35" s="19">
        <v>1103430.6999998093</v>
      </c>
      <c r="BM35" s="19">
        <v>410200.23000049591</v>
      </c>
      <c r="BN35" s="26">
        <f t="shared" ref="BN35" si="204">SUM(BB35:BM35)</f>
        <v>9760373.7300014496</v>
      </c>
      <c r="BO35" s="19">
        <v>523212.79000091553</v>
      </c>
      <c r="BP35" s="19">
        <v>204045.33999919891</v>
      </c>
      <c r="BQ35" s="19">
        <v>6986846.6400003433</v>
      </c>
      <c r="BR35" s="19">
        <v>749782.26999855042</v>
      </c>
      <c r="BS35" s="19">
        <v>240249.62000083923</v>
      </c>
      <c r="BT35" s="19">
        <v>227376.89000034332</v>
      </c>
      <c r="BU35" s="19">
        <v>127708.83999919891</v>
      </c>
      <c r="BV35" s="19">
        <v>534686.88000106812</v>
      </c>
      <c r="BW35" s="19">
        <v>611783.24999904633</v>
      </c>
      <c r="BX35" s="19">
        <v>1168778.6700000763</v>
      </c>
      <c r="BY35" s="19">
        <v>537527.32999992371</v>
      </c>
      <c r="BZ35" s="19">
        <v>668566.96000003815</v>
      </c>
      <c r="CA35" s="26">
        <f t="shared" ref="CA35" si="205">SUM(BO35:BZ35)</f>
        <v>12580565.479999542</v>
      </c>
      <c r="CB35" s="19">
        <v>1181814.8100004196</v>
      </c>
      <c r="CC35" s="19">
        <v>571982.25</v>
      </c>
      <c r="CD35" s="19">
        <v>1129988.8799991608</v>
      </c>
      <c r="CE35" s="19">
        <v>8170022.7100009918</v>
      </c>
      <c r="CF35" s="19">
        <v>1383777.2400007248</v>
      </c>
      <c r="CG35" s="19">
        <v>833772.48999881744</v>
      </c>
      <c r="CH35" s="19">
        <v>1349434.6000003815</v>
      </c>
      <c r="CI35" s="19">
        <v>3404546.8399991989</v>
      </c>
      <c r="CJ35" s="19">
        <v>1399666.0900011063</v>
      </c>
      <c r="CK35" s="19">
        <v>1346638.4200000763</v>
      </c>
      <c r="CL35" s="19">
        <v>1108130.0999994278</v>
      </c>
      <c r="CM35" s="19">
        <v>1557669.8400001526</v>
      </c>
      <c r="CN35" s="26">
        <f t="shared" ref="CN35" si="206">SUM(CB35:CM35)</f>
        <v>23437444.270000458</v>
      </c>
      <c r="CO35" s="19">
        <f>1052581.11+2.02</f>
        <v>1052583.1300000001</v>
      </c>
      <c r="CP35" s="19">
        <v>1639318</v>
      </c>
      <c r="CQ35" s="19">
        <v>3101883.8200000003</v>
      </c>
      <c r="CR35" s="19">
        <v>17341713.510000002</v>
      </c>
      <c r="CS35" s="19">
        <v>892560.72</v>
      </c>
      <c r="CT35" s="19">
        <v>0</v>
      </c>
      <c r="CU35" s="19">
        <v>810880.21</v>
      </c>
      <c r="CV35" s="19">
        <v>698859.88</v>
      </c>
      <c r="CW35" s="19">
        <v>1151374.75</v>
      </c>
      <c r="CX35" s="19">
        <v>1241162.6100000001</v>
      </c>
      <c r="CY35" s="19">
        <v>1550935.08</v>
      </c>
      <c r="CZ35" s="19">
        <v>290688951.20999998</v>
      </c>
      <c r="DA35" s="26">
        <f t="shared" ref="DA35" si="207">SUM(CO35:CZ35)</f>
        <v>320170222.91999996</v>
      </c>
      <c r="DB35" s="19">
        <v>594575.9</v>
      </c>
      <c r="DC35" s="19">
        <f>732338.03+100</f>
        <v>732438.03</v>
      </c>
      <c r="DD35" s="19">
        <f>39.81+957912.07</f>
        <v>957951.88</v>
      </c>
      <c r="DE35" s="19">
        <f>2598151.62+33.7+269964.59</f>
        <v>2868149.91</v>
      </c>
      <c r="DF35" s="19">
        <f>4842200.92+48.69+9494.32</f>
        <v>4851743.9300000006</v>
      </c>
      <c r="DG35" s="19">
        <f>1048501.05+96.66+5500</f>
        <v>1054097.71</v>
      </c>
      <c r="DH35" s="19">
        <f>1392552.97+96.92</f>
        <v>1392649.89</v>
      </c>
      <c r="DI35" s="19">
        <f>1833555.09+109.15+139667.29</f>
        <v>1973331.53</v>
      </c>
      <c r="DJ35" s="19">
        <f>3914803.73+211.91</f>
        <v>3915015.64</v>
      </c>
      <c r="DK35" s="19">
        <f>2683806.16+214.3</f>
        <v>2684020.46</v>
      </c>
      <c r="DL35" s="19">
        <v>5208920.97</v>
      </c>
      <c r="DM35" s="19">
        <v>10925816.5</v>
      </c>
      <c r="DN35" s="26">
        <f t="shared" ref="DN35" si="208">SUM(DB35:DM35)</f>
        <v>37158712.350000001</v>
      </c>
      <c r="DO35" s="49">
        <f>3866532.99+99.37</f>
        <v>3866632.3600000003</v>
      </c>
      <c r="DP35" s="49">
        <f>1153401.67+102.01</f>
        <v>1153503.68</v>
      </c>
      <c r="DQ35" s="49">
        <f>3082783.59+115.16</f>
        <v>3082898.75</v>
      </c>
      <c r="DR35" s="49">
        <f>2112091.41+87.43</f>
        <v>2112178.8400000003</v>
      </c>
      <c r="DS35" s="49">
        <f>2482099.4+1110.83</f>
        <v>2483210.23</v>
      </c>
      <c r="DT35" s="49">
        <f>157359683.5+103.03</f>
        <v>157359786.53</v>
      </c>
      <c r="DU35" s="49">
        <f>91152047.99+110.93</f>
        <v>91152158.920000002</v>
      </c>
      <c r="DV35" s="49">
        <f>57069944.78+937.5</f>
        <v>57070882.280000001</v>
      </c>
      <c r="DW35" s="49">
        <f>78661950.81+95.03</f>
        <v>78662045.840000004</v>
      </c>
      <c r="DX35" s="49">
        <f>7509974.11+138.91</f>
        <v>7510113.0200000005</v>
      </c>
      <c r="DY35" s="53">
        <f>79884451.16+11215699.14</f>
        <v>91100150.299999997</v>
      </c>
      <c r="DZ35" s="53">
        <f>165082657.87+87.68</f>
        <v>165082745.55000001</v>
      </c>
      <c r="EA35" s="27">
        <f t="shared" ref="EA35" si="209">SUM(DO35:DZ35)</f>
        <v>660636306.30000007</v>
      </c>
      <c r="EB35" s="49">
        <f>90458979.23+115.52</f>
        <v>90459094.75</v>
      </c>
      <c r="EC35" s="49">
        <f>86443743.98+102.52</f>
        <v>86443846.5</v>
      </c>
      <c r="ED35" s="49">
        <f>53427506.89+137.75</f>
        <v>53427644.640000001</v>
      </c>
      <c r="EE35" s="49">
        <f>47064827.32+126.66</f>
        <v>47064953.979999997</v>
      </c>
      <c r="EF35" s="49">
        <f>130438439.82+84.28</f>
        <v>130438524.09999999</v>
      </c>
      <c r="EG35" s="49">
        <f>139350265.63+123.18+62081.72</f>
        <v>139412470.53</v>
      </c>
      <c r="EH35" s="49">
        <f>87.69+97934540.72</f>
        <v>97934628.409999996</v>
      </c>
      <c r="EI35" s="49">
        <f>145.73+90412025.09</f>
        <v>90412170.820000008</v>
      </c>
      <c r="EJ35" s="49">
        <f>119.9+217674519.88</f>
        <v>217674639.78</v>
      </c>
      <c r="EK35" s="49">
        <f>90.57+95496543.24</f>
        <v>95496633.809999987</v>
      </c>
      <c r="EL35" s="49">
        <f>112080191.61+138.16</f>
        <v>112080329.77</v>
      </c>
      <c r="EM35" s="49">
        <f>115217370.68+99.72</f>
        <v>115217470.40000001</v>
      </c>
      <c r="EN35" s="63">
        <f t="shared" ref="EN35" si="210">SUM(EB35:EM35)</f>
        <v>1276062407.49</v>
      </c>
      <c r="EO35" s="49">
        <f>79073975.89+104.18</f>
        <v>79074080.070000008</v>
      </c>
      <c r="EP35" s="49">
        <f>37314838.5+117.6</f>
        <v>37314956.100000001</v>
      </c>
      <c r="EQ35" s="49">
        <f>98984460.82+145.18</f>
        <v>98984606</v>
      </c>
      <c r="ER35" s="49">
        <f>90449632.97+103.6</f>
        <v>90449736.569999993</v>
      </c>
      <c r="ES35" s="49">
        <f>128671002.71+149.72</f>
        <v>128671152.42999999</v>
      </c>
      <c r="ET35" s="49">
        <f>149159530.62+117.96</f>
        <v>149159648.58000001</v>
      </c>
      <c r="EU35" s="49">
        <f>93586144.52+134.66+279246915.35</f>
        <v>372833194.53000003</v>
      </c>
      <c r="EV35" s="49">
        <f>192854956.7+89.59</f>
        <v>192855046.28999999</v>
      </c>
      <c r="EW35" s="49">
        <f>131756124.32+277.82</f>
        <v>131756402.13999999</v>
      </c>
      <c r="EX35" s="49">
        <f>58618899.97+233.44</f>
        <v>58619133.409999996</v>
      </c>
      <c r="EY35" s="49">
        <f>341170648.15+177.77</f>
        <v>341170825.91999996</v>
      </c>
      <c r="EZ35" s="49">
        <f>100714996.48+613.33</f>
        <v>100715609.81</v>
      </c>
      <c r="FA35" s="63">
        <f t="shared" ref="FA35" si="211">+SUM(EO35:EZ35)</f>
        <v>1781604391.8499999</v>
      </c>
      <c r="FB35" s="49">
        <f>93002080.29+621.17</f>
        <v>93002701.460000008</v>
      </c>
      <c r="FC35" s="49">
        <f>200897410.94+371.52</f>
        <v>200897782.46000001</v>
      </c>
      <c r="FD35" s="49">
        <f>30234470.17+306.25</f>
        <v>30234776.420000002</v>
      </c>
      <c r="FE35" s="49">
        <v>14538656.539999999</v>
      </c>
      <c r="FF35" s="49">
        <v>37290.79</v>
      </c>
      <c r="FG35" s="49">
        <v>18639100.23</v>
      </c>
      <c r="FH35" s="49">
        <v>71731284.519999996</v>
      </c>
      <c r="FI35" s="49">
        <f>120753555.4+133.66</f>
        <v>120753689.06</v>
      </c>
      <c r="FJ35" s="49">
        <f>28262873.67+111.72</f>
        <v>28262985.390000001</v>
      </c>
      <c r="FK35" s="49">
        <f>112153700.79+107.18</f>
        <v>112153807.97000001</v>
      </c>
      <c r="FL35" s="49">
        <f>165371026.91+465.89</f>
        <v>165371492.79999998</v>
      </c>
      <c r="FM35" s="49">
        <f>181518501.25+1047.2</f>
        <v>181519548.44999999</v>
      </c>
      <c r="FN35" s="63">
        <f t="shared" ref="FN35" si="212">+SUM(FB35:FM35)</f>
        <v>1037143116.0899999</v>
      </c>
      <c r="FO35" s="49">
        <f>286387772.68+614.01</f>
        <v>286388386.69</v>
      </c>
      <c r="FP35" s="49">
        <f>251608946.54+755.52</f>
        <v>251609702.06</v>
      </c>
      <c r="FQ35" s="49">
        <v>145232659.63999999</v>
      </c>
      <c r="FR35" s="49">
        <v>145284938.56</v>
      </c>
      <c r="FS35" s="49">
        <v>178422015.75999999</v>
      </c>
      <c r="FT35" s="49">
        <f>177090668.03+582.24</f>
        <v>177091250.27000001</v>
      </c>
      <c r="FU35" s="49">
        <f>569.84+202708567.47</f>
        <v>202709137.31</v>
      </c>
      <c r="FV35" s="49">
        <v>324088401.72000003</v>
      </c>
      <c r="FW35" s="49">
        <v>308008859.45999998</v>
      </c>
      <c r="FX35" s="49">
        <v>236856565.66999999</v>
      </c>
      <c r="FY35" s="49">
        <f>130011726.22+652.1</f>
        <v>130012378.31999999</v>
      </c>
      <c r="FZ35" s="49">
        <f>199650225.27+879.94</f>
        <v>199651105.21000001</v>
      </c>
      <c r="GA35" s="68">
        <f t="shared" ref="GA35" si="213">+SUM(FO35:FZ35)</f>
        <v>2585355400.6700001</v>
      </c>
      <c r="GB35" s="49">
        <v>154236328.44</v>
      </c>
      <c r="GC35" s="49">
        <v>219177920.53999999</v>
      </c>
      <c r="GD35" s="49">
        <f>634.03+235305669.16</f>
        <v>235306303.19</v>
      </c>
      <c r="GE35" s="49">
        <f>522.1+56278737.06</f>
        <v>56279259.160000004</v>
      </c>
      <c r="GF35" s="49">
        <f>204613030.57+632.87</f>
        <v>204613663.44</v>
      </c>
      <c r="GG35" s="49">
        <f>107806510.74+519.2</f>
        <v>107807029.94</v>
      </c>
      <c r="GH35" s="49">
        <f>354727159.91+528.09</f>
        <v>354727688</v>
      </c>
      <c r="GI35" s="49">
        <f>6716764.02+667.63</f>
        <v>6717431.6499999994</v>
      </c>
      <c r="GJ35" s="49">
        <f>709607141.16+463.14</f>
        <v>709607604.29999995</v>
      </c>
      <c r="GK35" s="49">
        <f>1768825627.99+553.74</f>
        <v>1768826181.73</v>
      </c>
      <c r="GL35" s="49">
        <f>581576013.29+524.45</f>
        <v>581576537.74000001</v>
      </c>
      <c r="GM35" s="49">
        <f>258617080.9+470.79</f>
        <v>258617551.69</v>
      </c>
      <c r="GN35" s="68">
        <v>4657493499.8199997</v>
      </c>
      <c r="GO35" s="49">
        <f>121144421.15+544.99</f>
        <v>121144966.14</v>
      </c>
      <c r="GP35" s="49">
        <f>214514276.68+380.58</f>
        <v>214514657.26000002</v>
      </c>
      <c r="GQ35" s="49">
        <v>310936914.69999999</v>
      </c>
      <c r="GR35" s="81">
        <v>275281837.12</v>
      </c>
      <c r="GS35" s="49">
        <f>93118883.27+503.19</f>
        <v>93119386.459999993</v>
      </c>
      <c r="GT35" s="86">
        <v>239381657.07999998</v>
      </c>
      <c r="GU35" s="86">
        <f>88406032.78+376.96</f>
        <v>88406409.739999995</v>
      </c>
      <c r="GV35" s="86">
        <f>488.19+77492901.43</f>
        <v>77493389.620000005</v>
      </c>
      <c r="GW35" s="86">
        <f>144416839.59+117.71</f>
        <v>144416957.30000001</v>
      </c>
      <c r="GX35" s="86">
        <v>124074089.22</v>
      </c>
      <c r="GY35" s="86">
        <v>114478537.40000001</v>
      </c>
      <c r="GZ35" s="86">
        <v>100495744.29000001</v>
      </c>
      <c r="HA35" s="68">
        <f t="shared" si="200"/>
        <v>1903744546.3299999</v>
      </c>
      <c r="HB35" s="86">
        <v>29965523.439999998</v>
      </c>
      <c r="HC35" s="86">
        <f>213369635.64+427.18</f>
        <v>213370062.81999999</v>
      </c>
      <c r="HD35" s="86">
        <f>63287197.07+422.71</f>
        <v>63287619.780000001</v>
      </c>
      <c r="HE35" s="86">
        <f>81816779.63+511.07</f>
        <v>81817290.699999988</v>
      </c>
      <c r="HF35" s="86">
        <f>112100178.19+424.7</f>
        <v>112100602.89</v>
      </c>
      <c r="HG35" s="86">
        <v>81155662.219999999</v>
      </c>
      <c r="HH35" s="86">
        <f>143538429.65+502.25</f>
        <v>143538931.90000001</v>
      </c>
      <c r="HI35" s="86">
        <f>111354945.36+417.89</f>
        <v>111355363.25</v>
      </c>
      <c r="HJ35" s="86">
        <f>110679941.32+421.98</f>
        <v>110680363.3</v>
      </c>
      <c r="HK35" s="86">
        <f>170740915.01+736.83</f>
        <v>170741651.84</v>
      </c>
      <c r="HL35" s="86">
        <v>75921188.930000007</v>
      </c>
      <c r="HM35" s="86">
        <f>908378288.96+676.44</f>
        <v>908378965.4000001</v>
      </c>
      <c r="HN35" s="68">
        <f>SUM(HB35:HM35)</f>
        <v>2102313226.47</v>
      </c>
      <c r="HO35" s="86">
        <f>202187272.37+549.23</f>
        <v>202187821.59999999</v>
      </c>
      <c r="HP35" s="86">
        <v>103118026.06</v>
      </c>
      <c r="HQ35" s="86">
        <f>114430888.05+347.81</f>
        <v>114431235.86</v>
      </c>
      <c r="HR35" s="86">
        <v>58412304.259999998</v>
      </c>
      <c r="HS35" s="86">
        <f>687752564.34+439.91</f>
        <v>687753004.25</v>
      </c>
      <c r="HT35" s="86">
        <v>553633773.47000003</v>
      </c>
      <c r="HU35" s="86">
        <f>207549763.43+416.85</f>
        <v>207550180.28</v>
      </c>
      <c r="HV35" s="86">
        <f>414.13+198042541.22</f>
        <v>198042955.34999999</v>
      </c>
      <c r="HW35" s="86">
        <v>417922442.18000001</v>
      </c>
      <c r="HX35" s="86">
        <f>73408179.52+473.44</f>
        <v>73408652.959999993</v>
      </c>
      <c r="HY35" s="86">
        <v>62007536.850000001</v>
      </c>
      <c r="HZ35" s="86">
        <v>203733185.47</v>
      </c>
      <c r="IA35" s="68">
        <f t="shared" si="198"/>
        <v>2882201118.5899997</v>
      </c>
      <c r="IB35" s="86">
        <f>221432019.46+421.2</f>
        <v>221432440.66</v>
      </c>
      <c r="IC35" s="86">
        <v>114506818.41</v>
      </c>
      <c r="ID35" s="86">
        <f>99862371.31+496.54</f>
        <v>99862867.850000009</v>
      </c>
      <c r="IE35" s="86">
        <f>378338756.82+362.44</f>
        <v>378339119.25999999</v>
      </c>
      <c r="IF35" s="86">
        <f>14191230.68+414.61</f>
        <v>14191645.289999999</v>
      </c>
      <c r="IG35" s="86">
        <f>110983242.46+486.27</f>
        <v>110983728.72999999</v>
      </c>
      <c r="IH35" s="86">
        <f>147840460.84+430.51</f>
        <v>147840891.34999999</v>
      </c>
      <c r="II35" s="86">
        <f>234732242.68+560.49</f>
        <v>234732803.17000002</v>
      </c>
      <c r="IJ35" s="68">
        <f t="shared" si="199"/>
        <v>1321890314.72</v>
      </c>
    </row>
    <row r="36" spans="1:244" s="11" customFormat="1" ht="18.75" x14ac:dyDescent="0.3">
      <c r="A36" s="10"/>
      <c r="B36" s="22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6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6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6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6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6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6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6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6"/>
      <c r="DB36" s="23"/>
      <c r="DC36" s="23"/>
      <c r="DD36" s="23"/>
      <c r="DE36" s="23"/>
      <c r="DF36" s="23"/>
      <c r="DG36" s="23"/>
      <c r="DH36" s="23"/>
      <c r="DI36" s="23"/>
      <c r="DJ36" s="19"/>
      <c r="DK36" s="19"/>
      <c r="DL36" s="19"/>
      <c r="DM36" s="19"/>
      <c r="DN36" s="26"/>
      <c r="DO36" s="49"/>
      <c r="DP36" s="49"/>
      <c r="DQ36" s="49"/>
      <c r="DR36" s="49"/>
      <c r="DS36" s="49"/>
      <c r="DT36" s="49"/>
      <c r="DU36" s="49"/>
      <c r="DV36" s="49"/>
      <c r="DW36" s="49"/>
      <c r="DX36" s="49"/>
      <c r="DY36" s="49"/>
      <c r="DZ36" s="49"/>
      <c r="EA36" s="27"/>
      <c r="EB36" s="49"/>
      <c r="EC36" s="49"/>
      <c r="ED36" s="49"/>
      <c r="EE36" s="49"/>
      <c r="EF36" s="49"/>
      <c r="EG36" s="49"/>
      <c r="EH36" s="49"/>
      <c r="EI36" s="49"/>
      <c r="EJ36" s="49"/>
      <c r="EK36" s="49"/>
      <c r="EL36" s="49"/>
      <c r="EM36" s="49"/>
      <c r="EN36" s="63"/>
      <c r="EO36" s="49"/>
      <c r="EP36" s="49"/>
      <c r="EQ36" s="49"/>
      <c r="ER36" s="49"/>
      <c r="ES36" s="49"/>
      <c r="ET36" s="49"/>
      <c r="EU36" s="49"/>
      <c r="EV36" s="49"/>
      <c r="EW36" s="49"/>
      <c r="EX36" s="49"/>
      <c r="EY36" s="49"/>
      <c r="EZ36" s="49"/>
      <c r="FA36" s="63"/>
      <c r="FB36" s="49"/>
      <c r="FC36" s="49"/>
      <c r="FD36" s="49"/>
      <c r="FE36" s="49"/>
      <c r="FF36" s="49"/>
      <c r="FG36" s="49"/>
      <c r="FH36" s="49"/>
      <c r="FI36" s="49"/>
      <c r="FJ36" s="49"/>
      <c r="FK36" s="49"/>
      <c r="FL36" s="49"/>
      <c r="FM36" s="49"/>
      <c r="FN36" s="63"/>
      <c r="FO36" s="49"/>
      <c r="FP36" s="49"/>
      <c r="FQ36" s="49"/>
      <c r="FR36" s="49"/>
      <c r="FS36" s="49"/>
      <c r="FT36" s="49"/>
      <c r="FU36" s="49"/>
      <c r="FV36" s="49"/>
      <c r="FW36" s="49"/>
      <c r="FX36" s="49"/>
      <c r="FY36" s="49"/>
      <c r="FZ36" s="49"/>
      <c r="GA36" s="68"/>
      <c r="GB36" s="49"/>
      <c r="GC36" s="49"/>
      <c r="GD36" s="49"/>
      <c r="GE36" s="49"/>
      <c r="GF36" s="49"/>
      <c r="GG36" s="49"/>
      <c r="GH36" s="49"/>
      <c r="GI36" s="49"/>
      <c r="GJ36" s="49"/>
      <c r="GK36" s="49"/>
      <c r="GL36" s="49"/>
      <c r="GM36" s="49"/>
      <c r="GN36" s="68"/>
      <c r="GO36" s="49"/>
      <c r="GP36" s="49"/>
      <c r="GQ36" s="49"/>
      <c r="GR36" s="81"/>
      <c r="GS36" s="49"/>
      <c r="GT36" s="86"/>
      <c r="GU36" s="86"/>
      <c r="GV36" s="86"/>
      <c r="GW36" s="86"/>
      <c r="GX36" s="86"/>
      <c r="GY36" s="86"/>
      <c r="GZ36" s="86"/>
      <c r="HA36" s="68"/>
      <c r="HB36" s="86"/>
      <c r="HC36" s="86"/>
      <c r="HD36" s="86"/>
      <c r="HE36" s="86"/>
      <c r="HF36" s="86"/>
      <c r="HG36" s="86"/>
      <c r="HH36" s="86"/>
      <c r="HI36" s="86"/>
      <c r="HJ36" s="86"/>
      <c r="HK36" s="86"/>
      <c r="HL36" s="86"/>
      <c r="HM36" s="86"/>
      <c r="HN36" s="68"/>
      <c r="HO36" s="86"/>
      <c r="HP36" s="86"/>
      <c r="HQ36" s="86"/>
      <c r="HR36" s="86"/>
      <c r="HS36" s="86"/>
      <c r="HT36" s="86"/>
      <c r="HU36" s="86"/>
      <c r="HV36" s="86"/>
      <c r="HW36" s="86"/>
      <c r="HX36" s="86"/>
      <c r="HY36" s="86"/>
      <c r="HZ36" s="86"/>
      <c r="IA36" s="68"/>
      <c r="IB36" s="86"/>
      <c r="IC36" s="86"/>
      <c r="ID36" s="86"/>
      <c r="IE36" s="86"/>
      <c r="IF36" s="86"/>
      <c r="IG36" s="86"/>
      <c r="IH36" s="86"/>
      <c r="II36" s="86"/>
      <c r="IJ36" s="68"/>
    </row>
    <row r="37" spans="1:244" s="11" customFormat="1" ht="18.75" x14ac:dyDescent="0.3">
      <c r="A37" s="28" t="s">
        <v>38</v>
      </c>
      <c r="B37" s="29">
        <v>4915922388.3800001</v>
      </c>
      <c r="C37" s="29">
        <v>4367691314.8299999</v>
      </c>
      <c r="D37" s="29">
        <v>4563224556.0700006</v>
      </c>
      <c r="E37" s="29">
        <v>4948386889.1700001</v>
      </c>
      <c r="F37" s="29">
        <v>5212973266.4099998</v>
      </c>
      <c r="G37" s="29">
        <v>4967646883.1600008</v>
      </c>
      <c r="H37" s="29">
        <v>5071381197.3299999</v>
      </c>
      <c r="I37" s="29">
        <v>4660470361.6599998</v>
      </c>
      <c r="J37" s="29">
        <v>4283188421.7199998</v>
      </c>
      <c r="K37" s="29">
        <v>4909549841.9200001</v>
      </c>
      <c r="L37" s="29">
        <v>4538440835.2299995</v>
      </c>
      <c r="M37" s="29">
        <v>5368515312.54</v>
      </c>
      <c r="N37" s="26">
        <f t="shared" si="15"/>
        <v>57807391268.419991</v>
      </c>
      <c r="O37" s="29">
        <v>3432670232.5099993</v>
      </c>
      <c r="P37" s="29">
        <v>3446261219.3000007</v>
      </c>
      <c r="Q37" s="29">
        <v>4018398369.1700001</v>
      </c>
      <c r="R37" s="29">
        <v>3897618906.5200005</v>
      </c>
      <c r="S37" s="29">
        <v>3709033748.3700004</v>
      </c>
      <c r="T37" s="29">
        <v>4201613279.5599999</v>
      </c>
      <c r="U37" s="29">
        <v>4135744843.5799994</v>
      </c>
      <c r="V37" s="29">
        <v>3910341081.8300004</v>
      </c>
      <c r="W37" s="29">
        <v>3851183142.7799993</v>
      </c>
      <c r="X37" s="29">
        <v>4651925023.3699999</v>
      </c>
      <c r="Y37" s="29">
        <v>4591783319.96</v>
      </c>
      <c r="Z37" s="29">
        <v>5039527250.8400002</v>
      </c>
      <c r="AA37" s="26">
        <f>+SUM(O37:Z37)</f>
        <v>48886100417.790009</v>
      </c>
      <c r="AB37" s="29">
        <v>3400261804.4400001</v>
      </c>
      <c r="AC37" s="29">
        <v>3519479572.9100003</v>
      </c>
      <c r="AD37" s="29">
        <v>4907541337.3100004</v>
      </c>
      <c r="AE37" s="29">
        <v>4402590235.7699995</v>
      </c>
      <c r="AF37" s="29">
        <v>4579877465.6799994</v>
      </c>
      <c r="AG37" s="29">
        <v>4950699883.2299995</v>
      </c>
      <c r="AH37" s="29">
        <v>5006444090.0099993</v>
      </c>
      <c r="AI37" s="29">
        <v>5283027383.2000008</v>
      </c>
      <c r="AJ37" s="29">
        <v>5555529679.9499998</v>
      </c>
      <c r="AK37" s="29">
        <v>6025148977.0599995</v>
      </c>
      <c r="AL37" s="29">
        <v>5942104269.8899994</v>
      </c>
      <c r="AM37" s="29">
        <v>5915926348.8400002</v>
      </c>
      <c r="AN37" s="34">
        <v>59488631048.289993</v>
      </c>
      <c r="AO37" s="29">
        <v>4357811318.5699997</v>
      </c>
      <c r="AP37" s="29">
        <v>4729282583.9299994</v>
      </c>
      <c r="AQ37" s="29">
        <v>5530451173.9199991</v>
      </c>
      <c r="AR37" s="29">
        <v>5315037925.46</v>
      </c>
      <c r="AS37" s="29">
        <v>6008150376.3400002</v>
      </c>
      <c r="AT37" s="29">
        <v>5592114820.71</v>
      </c>
      <c r="AU37" s="29">
        <v>6011987467.1700001</v>
      </c>
      <c r="AV37" s="29">
        <v>5447912889.6299992</v>
      </c>
      <c r="AW37" s="29">
        <v>5403452102.6999998</v>
      </c>
      <c r="AX37" s="29">
        <v>5769516464.4200001</v>
      </c>
      <c r="AY37" s="29">
        <v>6301866344.1399994</v>
      </c>
      <c r="AZ37" s="29">
        <v>5697883800.4399996</v>
      </c>
      <c r="BA37" s="26">
        <f t="shared" si="17"/>
        <v>66165467267.429993</v>
      </c>
      <c r="BB37" s="29">
        <v>4183711135.1700006</v>
      </c>
      <c r="BC37" s="29">
        <v>4515430531.5899992</v>
      </c>
      <c r="BD37" s="29">
        <v>5164724763.8000011</v>
      </c>
      <c r="BE37" s="29">
        <v>4372922829.2200003</v>
      </c>
      <c r="BF37" s="29">
        <v>5366579191.3200006</v>
      </c>
      <c r="BG37" s="29">
        <v>4955445532.829999</v>
      </c>
      <c r="BH37" s="29">
        <v>5654336438.1700001</v>
      </c>
      <c r="BI37" s="29">
        <v>5319374242.8199997</v>
      </c>
      <c r="BJ37" s="29">
        <v>4756568689.8299999</v>
      </c>
      <c r="BK37" s="29">
        <v>6114524927.8600006</v>
      </c>
      <c r="BL37" s="29">
        <v>6508665276.7999992</v>
      </c>
      <c r="BM37" s="29">
        <v>6070412985.0300007</v>
      </c>
      <c r="BN37" s="26">
        <f t="shared" si="18"/>
        <v>62982696544.440002</v>
      </c>
      <c r="BO37" s="29">
        <v>5072204877.8400011</v>
      </c>
      <c r="BP37" s="29">
        <v>4965282881.3699999</v>
      </c>
      <c r="BQ37" s="29">
        <v>5519890876.7400007</v>
      </c>
      <c r="BR37" s="29">
        <v>5118058855.749999</v>
      </c>
      <c r="BS37" s="29">
        <v>5719634623.4100008</v>
      </c>
      <c r="BT37" s="29">
        <v>5485836833.5900011</v>
      </c>
      <c r="BU37" s="29">
        <v>6035696789.9399986</v>
      </c>
      <c r="BV37" s="29">
        <v>5870491994.3100004</v>
      </c>
      <c r="BW37" s="29">
        <v>5549729613.7599993</v>
      </c>
      <c r="BX37" s="29">
        <v>7205224549.3599997</v>
      </c>
      <c r="BY37" s="29">
        <v>7253292145.5600004</v>
      </c>
      <c r="BZ37" s="29">
        <v>6849364307.4300013</v>
      </c>
      <c r="CA37" s="26">
        <f t="shared" si="19"/>
        <v>70644708349.059998</v>
      </c>
      <c r="CB37" s="29">
        <v>5444131987.3699999</v>
      </c>
      <c r="CC37" s="29">
        <v>5040665854.9899998</v>
      </c>
      <c r="CD37" s="29">
        <v>6252016711.9299994</v>
      </c>
      <c r="CE37" s="29">
        <v>6908966726.8200006</v>
      </c>
      <c r="CF37" s="29">
        <v>6996899871.1900015</v>
      </c>
      <c r="CG37" s="29">
        <v>6469411098.5699997</v>
      </c>
      <c r="CH37" s="29">
        <v>7068951354.5900002</v>
      </c>
      <c r="CI37" s="29">
        <v>6688597868.0199986</v>
      </c>
      <c r="CJ37" s="29">
        <v>6680301604.4100008</v>
      </c>
      <c r="CK37" s="29">
        <v>8322610681.749999</v>
      </c>
      <c r="CL37" s="29">
        <v>7677968600.6699991</v>
      </c>
      <c r="CM37" s="29">
        <v>7885387511.0800009</v>
      </c>
      <c r="CN37" s="26">
        <f>SUM(CB37:CM37)</f>
        <v>81435909871.390015</v>
      </c>
      <c r="CO37" s="29">
        <v>6447195595.1599998</v>
      </c>
      <c r="CP37" s="29">
        <v>6308276796.0500002</v>
      </c>
      <c r="CQ37" s="29">
        <v>7568370356.9000006</v>
      </c>
      <c r="CR37" s="29">
        <v>6850000894.1199999</v>
      </c>
      <c r="CS37" s="29">
        <v>7780762796.5499992</v>
      </c>
      <c r="CT37" s="29">
        <v>7692638110.4200001</v>
      </c>
      <c r="CU37" s="29">
        <v>8372302146.2399998</v>
      </c>
      <c r="CV37" s="29">
        <v>7660554032.7300005</v>
      </c>
      <c r="CW37" s="29">
        <v>8570864387.5900002</v>
      </c>
      <c r="CX37" s="29">
        <v>9216930294.5799999</v>
      </c>
      <c r="CY37" s="29">
        <v>9321608177.1399994</v>
      </c>
      <c r="CZ37" s="29">
        <v>9810869625</v>
      </c>
      <c r="DA37" s="26">
        <f t="shared" si="21"/>
        <v>95600373212.479996</v>
      </c>
      <c r="DB37" s="29">
        <v>6622221997.5900002</v>
      </c>
      <c r="DC37" s="29">
        <f>+DC31+DC21+DC10</f>
        <v>7232576440.6099997</v>
      </c>
      <c r="DD37" s="29">
        <f>+DD31+DD21+DD10</f>
        <v>8308274295.75</v>
      </c>
      <c r="DE37" s="29">
        <f>+DE31+DE21+DE10</f>
        <v>7810540510.2999992</v>
      </c>
      <c r="DF37" s="29">
        <v>8430542823.5199995</v>
      </c>
      <c r="DG37" s="29">
        <v>8390432419.5600004</v>
      </c>
      <c r="DH37" s="29">
        <f>+DH31+DH21+DH10</f>
        <v>7697119910.9499998</v>
      </c>
      <c r="DI37" s="29">
        <f>+DI31+DI21+DI10</f>
        <v>9112354077.6900005</v>
      </c>
      <c r="DJ37" s="42">
        <f>+DJ31+DJ21+DJ10</f>
        <v>8870123608.2099991</v>
      </c>
      <c r="DK37" s="42">
        <f>+DK31+DK21+DK10</f>
        <v>9851356782.2099991</v>
      </c>
      <c r="DL37" s="43">
        <v>10592351236.82</v>
      </c>
      <c r="DM37" s="43">
        <f>+DM31+DM21+DM10</f>
        <v>9755684796.4799995</v>
      </c>
      <c r="DN37" s="26">
        <f t="shared" si="23"/>
        <v>102673578899.68999</v>
      </c>
      <c r="DO37" s="50">
        <f t="shared" ref="DO37:DZ37" si="214">+DO31+DO21+DO10</f>
        <v>8097416784.3200006</v>
      </c>
      <c r="DP37" s="50">
        <f t="shared" si="214"/>
        <v>7812958900.3500004</v>
      </c>
      <c r="DQ37" s="50">
        <f t="shared" si="214"/>
        <v>9350405726.4900017</v>
      </c>
      <c r="DR37" s="50">
        <f t="shared" si="214"/>
        <v>8216617716.9200001</v>
      </c>
      <c r="DS37" s="50">
        <f t="shared" si="214"/>
        <v>9714630664.9099998</v>
      </c>
      <c r="DT37" s="50">
        <f t="shared" si="214"/>
        <v>9671671716.5599995</v>
      </c>
      <c r="DU37" s="50">
        <f t="shared" si="214"/>
        <v>9306928122.6299992</v>
      </c>
      <c r="DV37" s="50">
        <f t="shared" si="214"/>
        <v>10144122884.619999</v>
      </c>
      <c r="DW37" s="50">
        <f t="shared" si="214"/>
        <v>8680648660.6599998</v>
      </c>
      <c r="DX37" s="50">
        <f t="shared" si="214"/>
        <v>11209909528.389999</v>
      </c>
      <c r="DY37" s="50">
        <f t="shared" si="214"/>
        <v>12350970732.059999</v>
      </c>
      <c r="DZ37" s="50">
        <f t="shared" si="214"/>
        <v>10778948996.049999</v>
      </c>
      <c r="EA37" s="50">
        <f t="shared" si="116"/>
        <v>115335230433.96001</v>
      </c>
      <c r="EB37" s="50">
        <f t="shared" ref="EB37:EM37" si="215">+EB10+EB21+EB31</f>
        <v>9954807864.7199993</v>
      </c>
      <c r="EC37" s="50">
        <f t="shared" si="215"/>
        <v>9355005128.1700001</v>
      </c>
      <c r="ED37" s="50">
        <f t="shared" si="215"/>
        <v>10605377052.23</v>
      </c>
      <c r="EE37" s="50">
        <f t="shared" si="215"/>
        <v>10085935130.59</v>
      </c>
      <c r="EF37" s="50">
        <f t="shared" si="215"/>
        <v>12044715058.609999</v>
      </c>
      <c r="EG37" s="50">
        <f t="shared" si="215"/>
        <v>11023303618.42</v>
      </c>
      <c r="EH37" s="50">
        <f t="shared" si="215"/>
        <v>12522015301.190001</v>
      </c>
      <c r="EI37" s="50">
        <f t="shared" si="215"/>
        <v>12028375954.210001</v>
      </c>
      <c r="EJ37" s="50">
        <f t="shared" si="215"/>
        <v>10397584894.620001</v>
      </c>
      <c r="EK37" s="50">
        <f t="shared" si="215"/>
        <v>13698474319.25</v>
      </c>
      <c r="EL37" s="50">
        <f t="shared" si="215"/>
        <v>13500787227.769999</v>
      </c>
      <c r="EM37" s="50">
        <f t="shared" si="215"/>
        <v>11916337067.120001</v>
      </c>
      <c r="EN37" s="50">
        <f>+SUM(EB37:EM37)</f>
        <v>137132718616.89999</v>
      </c>
      <c r="EO37" s="50">
        <f t="shared" ref="EO37:EZ37" si="216">+EO10+EO21+EO31</f>
        <v>11489017706.85</v>
      </c>
      <c r="EP37" s="50">
        <f t="shared" si="216"/>
        <v>9939203179.7900009</v>
      </c>
      <c r="EQ37" s="50">
        <f t="shared" si="216"/>
        <v>11290117156.41</v>
      </c>
      <c r="ER37" s="50">
        <f t="shared" si="216"/>
        <v>10792906744.77</v>
      </c>
      <c r="ES37" s="50">
        <f t="shared" si="216"/>
        <v>12927416797.23</v>
      </c>
      <c r="ET37" s="50">
        <f t="shared" si="216"/>
        <v>10891392337.68</v>
      </c>
      <c r="EU37" s="50">
        <f t="shared" si="216"/>
        <v>13036724063.650002</v>
      </c>
      <c r="EV37" s="50">
        <f t="shared" si="216"/>
        <v>12375685701.74</v>
      </c>
      <c r="EW37" s="50">
        <f t="shared" si="216"/>
        <v>11552024944.16</v>
      </c>
      <c r="EX37" s="50">
        <f t="shared" si="216"/>
        <v>14242470510.369999</v>
      </c>
      <c r="EY37" s="50">
        <f t="shared" si="216"/>
        <v>13516228700.573</v>
      </c>
      <c r="EZ37" s="50">
        <f t="shared" si="216"/>
        <v>12173501345.5</v>
      </c>
      <c r="FA37" s="50">
        <f t="shared" si="27"/>
        <v>144226689188.72302</v>
      </c>
      <c r="FB37" s="50">
        <f t="shared" ref="FB37:FM37" si="217">+FB10+FB21+FB31</f>
        <v>11948424064.269999</v>
      </c>
      <c r="FC37" s="50">
        <f t="shared" si="217"/>
        <v>10481300445.619999</v>
      </c>
      <c r="FD37" s="50">
        <f t="shared" si="217"/>
        <v>9858056787.3000011</v>
      </c>
      <c r="FE37" s="50">
        <f t="shared" si="217"/>
        <v>6618840798.6999998</v>
      </c>
      <c r="FF37" s="50">
        <f t="shared" si="217"/>
        <v>6607476084.8100004</v>
      </c>
      <c r="FG37" s="50">
        <f t="shared" si="217"/>
        <v>8359120225.7399988</v>
      </c>
      <c r="FH37" s="50">
        <f t="shared" si="217"/>
        <v>10077908560.01</v>
      </c>
      <c r="FI37" s="50">
        <f t="shared" si="217"/>
        <v>10335306885.919998</v>
      </c>
      <c r="FJ37" s="50">
        <f t="shared" si="217"/>
        <v>11281668584.450001</v>
      </c>
      <c r="FK37" s="50">
        <f t="shared" si="217"/>
        <v>13351576829.25</v>
      </c>
      <c r="FL37" s="50">
        <f t="shared" si="217"/>
        <v>13915591768.699999</v>
      </c>
      <c r="FM37" s="50">
        <f t="shared" si="217"/>
        <v>14660568921.969999</v>
      </c>
      <c r="FN37" s="50">
        <f t="shared" si="28"/>
        <v>127495839956.73999</v>
      </c>
      <c r="FO37" s="50">
        <f t="shared" ref="FO37:FV37" si="218">+FO10+FO21+FO31</f>
        <v>12488637840.049999</v>
      </c>
      <c r="FP37" s="50">
        <f t="shared" si="218"/>
        <v>12965633114.839998</v>
      </c>
      <c r="FQ37" s="50">
        <f t="shared" si="218"/>
        <v>14422236083.34</v>
      </c>
      <c r="FR37" s="50">
        <f t="shared" si="218"/>
        <v>13703461447.449999</v>
      </c>
      <c r="FS37" s="50">
        <f t="shared" si="218"/>
        <v>15642942156.039999</v>
      </c>
      <c r="FT37" s="50">
        <f t="shared" si="218"/>
        <v>15671568342.240002</v>
      </c>
      <c r="FU37" s="50">
        <f t="shared" si="218"/>
        <v>15634375041.779999</v>
      </c>
      <c r="FV37" s="50">
        <f t="shared" si="218"/>
        <v>15902762517.789999</v>
      </c>
      <c r="FW37" s="50">
        <v>16203245248.83</v>
      </c>
      <c r="FX37" s="50">
        <f>+FX31+FX21+FX10</f>
        <v>19483413173.540001</v>
      </c>
      <c r="FY37" s="50">
        <f>+FY31+FY21+FY10</f>
        <v>21162395280.919998</v>
      </c>
      <c r="FZ37" s="50">
        <f>+FZ31+FZ21+FZ10</f>
        <v>18709901299.23</v>
      </c>
      <c r="GA37" s="69">
        <f>+SUM(FO37:FZ37)</f>
        <v>191990571546.05002</v>
      </c>
      <c r="GB37" s="50">
        <f t="shared" ref="GB37:GH37" si="219">+GB10+GB21+GB31</f>
        <v>17719172493.57</v>
      </c>
      <c r="GC37" s="50">
        <f t="shared" si="219"/>
        <v>17782807981.93</v>
      </c>
      <c r="GD37" s="50">
        <f t="shared" si="219"/>
        <v>19031641308.829998</v>
      </c>
      <c r="GE37" s="50">
        <f t="shared" si="219"/>
        <v>16578023904.02</v>
      </c>
      <c r="GF37" s="50">
        <f t="shared" si="219"/>
        <v>19352641017.199997</v>
      </c>
      <c r="GG37" s="50">
        <f t="shared" si="219"/>
        <v>20554596743.48</v>
      </c>
      <c r="GH37" s="50">
        <f t="shared" si="219"/>
        <v>19367795850.459999</v>
      </c>
      <c r="GI37" s="50">
        <f t="shared" ref="GI37:GJ37" si="220">+GI10+GI21+GI31</f>
        <v>21131214862.27</v>
      </c>
      <c r="GJ37" s="50">
        <f t="shared" si="220"/>
        <v>21066997023.5</v>
      </c>
      <c r="GK37" s="50">
        <f>+GK10+GK21+GK31</f>
        <v>21012259480.560001</v>
      </c>
      <c r="GL37" s="50">
        <f>+GL10+GL21+GL31</f>
        <v>19400350701.970005</v>
      </c>
      <c r="GM37" s="50">
        <f>+GM10+GM21+GM31</f>
        <v>17914550412.32</v>
      </c>
      <c r="GN37" s="69">
        <v>230912051780.10999</v>
      </c>
      <c r="GO37" s="50">
        <f t="shared" ref="GO37" si="221">+GO10+GO21+GO31</f>
        <v>17240512301</v>
      </c>
      <c r="GP37" s="50">
        <f>+GP10+GP21+GP31</f>
        <v>17102064452.809999</v>
      </c>
      <c r="GQ37" s="50">
        <f>+GQ10+GQ21+GQ31</f>
        <v>18986847750.740002</v>
      </c>
      <c r="GR37" s="82">
        <v>16663415763.08</v>
      </c>
      <c r="GS37" s="50">
        <f t="shared" ref="GS37:GW37" si="222">+GS10+GS21+GS31</f>
        <v>18820881973.57</v>
      </c>
      <c r="GT37" s="69">
        <f t="shared" si="222"/>
        <v>17973882717.460003</v>
      </c>
      <c r="GU37" s="69">
        <f t="shared" si="222"/>
        <v>19020003453.299999</v>
      </c>
      <c r="GV37" s="69">
        <f t="shared" si="222"/>
        <v>18802255113.5</v>
      </c>
      <c r="GW37" s="69">
        <f t="shared" si="222"/>
        <v>19803780261.959999</v>
      </c>
      <c r="GX37" s="69">
        <f t="shared" ref="GX37:HE37" si="223">+GX10+GX21+GX31</f>
        <v>21243100621.610001</v>
      </c>
      <c r="GY37" s="69">
        <f t="shared" si="223"/>
        <v>21518091379.090004</v>
      </c>
      <c r="GZ37" s="69">
        <f t="shared" si="223"/>
        <v>17763034100.250004</v>
      </c>
      <c r="HA37" s="69">
        <f t="shared" si="223"/>
        <v>224937869888.37003</v>
      </c>
      <c r="HB37" s="69">
        <f t="shared" si="223"/>
        <v>18113136519.52</v>
      </c>
      <c r="HC37" s="69">
        <f t="shared" si="223"/>
        <v>17428093045.719997</v>
      </c>
      <c r="HD37" s="69">
        <f t="shared" si="223"/>
        <v>18196933033.149998</v>
      </c>
      <c r="HE37" s="69">
        <f t="shared" si="223"/>
        <v>20444230583.650002</v>
      </c>
      <c r="HF37" s="69">
        <f t="shared" ref="HF37" si="224">+HF10+HF21+HF31</f>
        <v>21326245172.860001</v>
      </c>
      <c r="HG37" s="69">
        <f t="shared" ref="HG37:HL37" si="225">+HG10+HG21+HG31</f>
        <v>20177038149.540001</v>
      </c>
      <c r="HH37" s="69">
        <f t="shared" si="225"/>
        <v>23068513592.730003</v>
      </c>
      <c r="HI37" s="69">
        <f t="shared" si="225"/>
        <v>22224824916.650002</v>
      </c>
      <c r="HJ37" s="69">
        <f t="shared" si="225"/>
        <v>23040854299.099998</v>
      </c>
      <c r="HK37" s="69">
        <f t="shared" si="225"/>
        <v>24690985577.469997</v>
      </c>
      <c r="HL37" s="69">
        <f t="shared" si="225"/>
        <v>23010288616.75</v>
      </c>
      <c r="HM37" s="69">
        <f>+HM10+HM21+HM31</f>
        <v>22965936554.870003</v>
      </c>
      <c r="HN37" s="69">
        <f>SUM(HB37:HM37)</f>
        <v>254687080062.01001</v>
      </c>
      <c r="HO37" s="69">
        <f>+HO10+HO21+HO31</f>
        <v>19993317796.186398</v>
      </c>
      <c r="HP37" s="69">
        <f>+HP10+HP21+HP31</f>
        <v>19646346618.300003</v>
      </c>
      <c r="HQ37" s="69">
        <f>+HQ10+HQ21+HQ31</f>
        <v>21907012151.529999</v>
      </c>
      <c r="HR37" s="69">
        <f>+HR10+HR21+HR31</f>
        <v>21438793315.399998</v>
      </c>
      <c r="HS37" s="69">
        <f>+HS10+HS21+HS31</f>
        <v>22023514481.690002</v>
      </c>
      <c r="HT37" s="69">
        <f>HT10+HT21+HT31</f>
        <v>20936203855.600002</v>
      </c>
      <c r="HU37" s="69">
        <f>HU10+HU21+HU31</f>
        <v>23283110528.950001</v>
      </c>
      <c r="HV37" s="69">
        <f>HV10+HV21+HV31</f>
        <v>22286253875.289997</v>
      </c>
      <c r="HW37" s="69">
        <f>HW31+HW21+HW10</f>
        <v>23688757777.240002</v>
      </c>
      <c r="HX37" s="69">
        <f>HX31+HX21+HX10</f>
        <v>24016655474.099998</v>
      </c>
      <c r="HY37" s="69">
        <f>HY31+HY21+HY10</f>
        <v>21259712175.690002</v>
      </c>
      <c r="HZ37" s="69">
        <f>HZ31+HZ21+HZ10</f>
        <v>23609972026.459999</v>
      </c>
      <c r="IA37" s="69">
        <f>SUM(HO37:HZ37)</f>
        <v>264089650076.4364</v>
      </c>
      <c r="IB37" s="69">
        <f>IB31+IB21+IB10</f>
        <v>21198775629.48</v>
      </c>
      <c r="IC37" s="69">
        <f t="shared" ref="IC37:IE37" si="226">IC31+IC21+IC10</f>
        <v>18436415773.510002</v>
      </c>
      <c r="ID37" s="69">
        <f t="shared" si="226"/>
        <v>23235293567.030003</v>
      </c>
      <c r="IE37" s="69">
        <f t="shared" si="226"/>
        <v>21501539124.73</v>
      </c>
      <c r="IF37" s="69">
        <f>IF31+IF21+IF10</f>
        <v>20701554125.77</v>
      </c>
      <c r="IG37" s="69">
        <f>IG31+IG21+IG10</f>
        <v>24161975059.18</v>
      </c>
      <c r="IH37" s="69">
        <f>IH31+IH21+IH10</f>
        <v>23066307670.02</v>
      </c>
      <c r="II37" s="69">
        <f>II31+II21+II10</f>
        <v>22484713133.080002</v>
      </c>
      <c r="IJ37" s="69">
        <f>SUM(IB37:II37)</f>
        <v>174786574082.79999</v>
      </c>
    </row>
    <row r="38" spans="1:244" ht="15.75" x14ac:dyDescent="0.25">
      <c r="C38" s="2"/>
      <c r="DE38" s="35"/>
      <c r="DF38" s="35"/>
      <c r="DG38" s="35"/>
      <c r="DH38" s="35"/>
      <c r="DI38" s="35"/>
      <c r="DT38" s="52"/>
      <c r="DU38" s="52"/>
      <c r="DV38" s="52"/>
      <c r="EA38" s="67"/>
      <c r="EB38" s="67"/>
      <c r="EC38" s="67">
        <f>+EC37+EB37</f>
        <v>19309812992.889999</v>
      </c>
      <c r="ED38" s="67"/>
      <c r="EE38" s="67"/>
      <c r="EF38" s="67"/>
      <c r="EG38" s="67"/>
      <c r="EH38" s="67"/>
      <c r="EI38" s="67"/>
      <c r="EN38" s="36"/>
      <c r="EO38" s="39"/>
      <c r="ET38" s="66">
        <f>+ET37-EG37</f>
        <v>-131911280.73999977</v>
      </c>
      <c r="EU38" s="65"/>
      <c r="EV38" s="65"/>
      <c r="EW38" s="65"/>
      <c r="EX38" s="65"/>
      <c r="EY38" s="65">
        <f>+SUM(EO37:EY37)</f>
        <v>132053187843.22301</v>
      </c>
      <c r="EZ38" s="65"/>
      <c r="FH38" s="39"/>
      <c r="FL38" s="39"/>
      <c r="HK38" s="79"/>
      <c r="HL38" s="79"/>
      <c r="HM38" s="79"/>
      <c r="HO38" s="79"/>
      <c r="HP38" s="79"/>
      <c r="HQ38" s="79"/>
      <c r="HR38" s="92"/>
      <c r="HS38" s="92"/>
      <c r="HT38" s="92"/>
      <c r="HU38" s="92"/>
      <c r="HV38" s="92"/>
      <c r="HW38" s="92"/>
    </row>
    <row r="39" spans="1:244" s="56" customFormat="1" ht="15.75" x14ac:dyDescent="0.25">
      <c r="A39" s="56" t="s">
        <v>54</v>
      </c>
      <c r="AB39" s="57"/>
      <c r="AO39" s="57"/>
      <c r="BB39" s="57"/>
      <c r="BO39" s="57"/>
      <c r="CB39" s="57"/>
      <c r="CL39" s="57"/>
      <c r="CO39" s="57"/>
      <c r="CT39" s="57"/>
      <c r="CX39" s="57"/>
      <c r="CY39" s="57"/>
      <c r="DD39" s="58"/>
      <c r="DE39" s="58"/>
      <c r="DF39" s="58"/>
      <c r="DG39" s="19"/>
      <c r="DH39" s="59"/>
      <c r="DI39" s="59"/>
      <c r="DJ39" s="58"/>
      <c r="DK39" s="58"/>
      <c r="DL39" s="58"/>
      <c r="DM39" s="58"/>
      <c r="DN39" s="60"/>
      <c r="DO39" s="60"/>
      <c r="DP39" s="58"/>
      <c r="DQ39" s="58"/>
      <c r="DR39" s="58"/>
      <c r="DS39" s="58"/>
      <c r="DT39" s="58"/>
      <c r="DU39" s="58"/>
      <c r="DV39" s="58"/>
      <c r="DW39" s="58"/>
      <c r="DX39" s="58"/>
      <c r="DY39" s="58"/>
      <c r="DZ39" s="58"/>
      <c r="EA39" s="67"/>
      <c r="EB39" s="65"/>
      <c r="EC39" s="65"/>
      <c r="ED39" s="65"/>
      <c r="EE39" s="65"/>
      <c r="EF39" s="65"/>
      <c r="EG39" s="65">
        <f>+SUM(EB37:EG37)</f>
        <v>63069143852.739998</v>
      </c>
      <c r="EH39" s="65"/>
      <c r="EI39" s="65"/>
      <c r="EJ39" s="61"/>
      <c r="EK39" s="61"/>
      <c r="EL39" s="61"/>
      <c r="EM39" s="61"/>
      <c r="EN39" s="48"/>
      <c r="EO39" s="48"/>
      <c r="EP39" s="48"/>
      <c r="EQ39" s="48"/>
      <c r="ER39" s="48"/>
      <c r="ES39" s="48"/>
      <c r="ET39" s="48"/>
      <c r="EU39" s="48"/>
      <c r="EV39" s="48"/>
      <c r="EW39" s="48"/>
      <c r="EX39" s="48"/>
      <c r="EY39" s="48"/>
      <c r="EZ39" s="48"/>
      <c r="FK39" s="35"/>
      <c r="FS39" s="35"/>
      <c r="FT39" s="35"/>
      <c r="FU39" s="35"/>
      <c r="FV39" s="35"/>
      <c r="FW39" s="35"/>
      <c r="FX39" s="35"/>
      <c r="FY39" s="35"/>
      <c r="FZ39" s="35"/>
      <c r="GB39" s="70"/>
      <c r="GC39" s="70"/>
      <c r="GD39" s="70"/>
      <c r="GE39" s="78"/>
      <c r="GF39" s="70"/>
      <c r="GG39" s="70"/>
      <c r="GH39" s="70"/>
      <c r="GI39" s="48"/>
      <c r="GJ39" s="70"/>
      <c r="GK39" s="70"/>
      <c r="GL39" s="70"/>
      <c r="GM39" s="70"/>
      <c r="GN39" s="1"/>
      <c r="GO39" s="70"/>
      <c r="GP39" s="70"/>
      <c r="GQ39" s="70"/>
      <c r="GR39" s="70"/>
      <c r="GS39" s="70"/>
      <c r="GT39" s="87"/>
      <c r="GU39" s="87"/>
      <c r="GV39" s="87"/>
      <c r="GW39" s="87"/>
      <c r="GX39" s="87"/>
      <c r="GY39" s="87"/>
      <c r="GZ39" s="87"/>
      <c r="HA39" s="1"/>
      <c r="HB39" s="1"/>
      <c r="HC39" s="1"/>
      <c r="HD39" s="1"/>
      <c r="HE39" s="1"/>
      <c r="HF39" s="1"/>
      <c r="HG39" s="1"/>
      <c r="HH39" s="1"/>
      <c r="HI39" s="36"/>
      <c r="HJ39" s="36"/>
      <c r="HK39" s="36"/>
      <c r="HL39" s="36"/>
      <c r="HM39" s="36"/>
      <c r="HN39" s="1"/>
      <c r="HO39" s="36"/>
      <c r="HP39" s="36"/>
      <c r="HQ39" s="36"/>
      <c r="HR39" s="93"/>
      <c r="HS39" s="93"/>
      <c r="HT39" s="93"/>
      <c r="HU39" s="93"/>
      <c r="HV39" s="93"/>
      <c r="HW39" s="93"/>
      <c r="HX39" s="92"/>
      <c r="HY39" s="92"/>
      <c r="HZ39" s="92"/>
      <c r="IA39" s="1"/>
      <c r="IB39" s="92"/>
      <c r="IC39" s="92"/>
      <c r="ID39" s="92"/>
      <c r="IE39" s="92"/>
      <c r="IF39" s="92"/>
      <c r="IG39" s="92"/>
      <c r="IH39" s="92"/>
      <c r="II39" s="92"/>
      <c r="IJ39" s="1"/>
    </row>
    <row r="40" spans="1:244" ht="15.75" x14ac:dyDescent="0.25">
      <c r="A40" s="55" t="s">
        <v>40</v>
      </c>
      <c r="CO40" s="3"/>
      <c r="CP40" s="3"/>
      <c r="CU40" s="3"/>
      <c r="CX40" s="3"/>
      <c r="CY40" s="3"/>
      <c r="DD40" s="38"/>
      <c r="DF40" s="36"/>
      <c r="DN40" s="36"/>
      <c r="DO40" s="36"/>
      <c r="DS40" s="51"/>
      <c r="EA40" s="67"/>
      <c r="EB40" s="67">
        <f>+SUM(EB37:ED37)</f>
        <v>29915190045.119999</v>
      </c>
      <c r="EC40" s="67"/>
      <c r="ED40" s="67"/>
      <c r="EE40" s="67"/>
      <c r="EF40" s="67"/>
      <c r="EG40" s="67"/>
      <c r="EH40" s="67"/>
      <c r="EI40" s="67"/>
      <c r="EN40" s="48"/>
      <c r="EV40" s="39"/>
      <c r="EW40" s="39"/>
      <c r="EX40" s="39"/>
      <c r="EY40" s="39"/>
      <c r="EZ40" s="39"/>
      <c r="GE40" s="49"/>
      <c r="HB40" s="35"/>
      <c r="HC40" s="35"/>
      <c r="HD40" s="35"/>
      <c r="HE40" s="35"/>
      <c r="HF40" s="35"/>
      <c r="HG40" s="35"/>
      <c r="HH40" s="35"/>
      <c r="HI40" s="35"/>
      <c r="HJ40" s="35"/>
      <c r="HK40" s="35"/>
      <c r="HL40" s="35"/>
      <c r="HM40" s="35"/>
      <c r="HO40" s="35"/>
      <c r="HP40" s="35"/>
      <c r="HQ40" s="35"/>
      <c r="HR40" s="94"/>
      <c r="HS40" s="94"/>
      <c r="HT40" s="94"/>
      <c r="HU40" s="94"/>
      <c r="HV40" s="94"/>
      <c r="HW40" s="94"/>
      <c r="HX40" s="94"/>
      <c r="HY40" s="94"/>
      <c r="HZ40" s="94"/>
      <c r="IB40" s="94"/>
      <c r="IC40" s="94"/>
      <c r="ID40" s="94"/>
      <c r="IE40" s="94"/>
      <c r="IF40" s="94"/>
      <c r="IG40" s="94"/>
      <c r="IH40" s="94"/>
      <c r="II40" s="94"/>
    </row>
    <row r="41" spans="1:244" ht="15.75" x14ac:dyDescent="0.25">
      <c r="CX41" s="3"/>
      <c r="CY41" s="3"/>
      <c r="DF41" s="36"/>
      <c r="DH41" s="35"/>
      <c r="DI41" s="35"/>
      <c r="DK41" s="19"/>
      <c r="DL41" s="19"/>
      <c r="DM41" s="19"/>
      <c r="DN41" s="36"/>
      <c r="DO41" s="36"/>
      <c r="EA41" s="67"/>
      <c r="EB41" s="67"/>
      <c r="EC41" s="67"/>
      <c r="ED41" s="67"/>
      <c r="EE41" s="67"/>
      <c r="EF41" s="67"/>
      <c r="EG41" s="67"/>
      <c r="EH41" s="67"/>
      <c r="EI41" s="67"/>
      <c r="EN41" s="36"/>
      <c r="EV41" s="39"/>
      <c r="EW41" s="39"/>
      <c r="EX41" s="39"/>
      <c r="EY41" s="39"/>
      <c r="EZ41" s="39"/>
      <c r="HB41" s="35"/>
      <c r="HC41" s="35"/>
      <c r="HD41" s="35"/>
      <c r="HE41" s="35"/>
      <c r="HF41" s="35"/>
      <c r="HG41" s="35"/>
      <c r="HH41" s="35"/>
      <c r="HI41" s="35"/>
      <c r="HJ41" s="35"/>
      <c r="HK41" s="35"/>
      <c r="HL41" s="35"/>
      <c r="HM41" s="35"/>
      <c r="HO41" s="35"/>
      <c r="HP41" s="35"/>
      <c r="HQ41" s="35"/>
      <c r="HR41" s="94"/>
      <c r="HS41" s="94"/>
      <c r="HT41" s="94"/>
      <c r="HU41" s="94"/>
      <c r="HV41" s="94"/>
      <c r="HW41" s="94"/>
      <c r="HX41" s="94"/>
      <c r="HY41" s="94"/>
      <c r="HZ41" s="94"/>
      <c r="IB41" s="94"/>
      <c r="IC41" s="94"/>
      <c r="ID41" s="94"/>
      <c r="IE41" s="94"/>
      <c r="IF41" s="94"/>
      <c r="IG41" s="94"/>
      <c r="IH41" s="94"/>
      <c r="II41" s="94"/>
    </row>
    <row r="42" spans="1:244" ht="15.75" x14ac:dyDescent="0.25">
      <c r="CX42" s="3"/>
      <c r="CY42" s="3"/>
      <c r="DF42" s="36"/>
      <c r="DN42" s="36"/>
      <c r="DO42" s="36"/>
      <c r="EA42" s="36"/>
      <c r="EB42" s="36"/>
      <c r="EC42" s="36"/>
      <c r="ED42" s="36"/>
      <c r="EL42" s="62"/>
      <c r="EN42" s="36"/>
      <c r="EO42" s="48"/>
      <c r="EP42" s="48"/>
      <c r="EQ42" s="48"/>
      <c r="ER42" s="48"/>
      <c r="ES42" s="48"/>
      <c r="ET42" s="48"/>
      <c r="EU42" s="48"/>
      <c r="EV42" s="48"/>
      <c r="EW42" s="48"/>
      <c r="EX42" s="48"/>
      <c r="EY42" s="48"/>
      <c r="EZ42" s="48"/>
      <c r="FY42" s="36"/>
      <c r="FZ42" s="36"/>
      <c r="HH42" s="35"/>
    </row>
    <row r="43" spans="1:244" ht="15.75" x14ac:dyDescent="0.25">
      <c r="DF43" s="36"/>
      <c r="DN43" s="36"/>
      <c r="DO43" s="36"/>
      <c r="HB43" s="86"/>
      <c r="HC43" s="86"/>
      <c r="HD43" s="86"/>
      <c r="HE43" s="86"/>
      <c r="HF43" s="86"/>
      <c r="HG43" s="86"/>
      <c r="HH43" s="86"/>
      <c r="HI43" s="86"/>
      <c r="HJ43" s="86"/>
      <c r="HK43" s="86"/>
      <c r="HL43" s="86"/>
      <c r="HM43" s="86"/>
      <c r="HO43" s="86"/>
      <c r="HP43" s="86"/>
      <c r="HQ43" s="86"/>
      <c r="HR43" s="86"/>
      <c r="HS43" s="86"/>
      <c r="HT43" s="86"/>
      <c r="HU43" s="86"/>
      <c r="HV43" s="86"/>
      <c r="HW43" s="86"/>
      <c r="HX43" s="86"/>
      <c r="HY43" s="86"/>
      <c r="HZ43" s="86"/>
      <c r="IB43" s="86"/>
      <c r="IC43" s="86"/>
      <c r="ID43" s="86"/>
      <c r="IE43" s="86"/>
      <c r="IF43" s="86"/>
      <c r="IG43" s="86"/>
      <c r="IH43" s="86"/>
      <c r="II43" s="86"/>
    </row>
    <row r="44" spans="1:244" x14ac:dyDescent="0.25">
      <c r="DF44" s="40"/>
      <c r="DN44" s="3"/>
      <c r="DO44" s="3"/>
    </row>
    <row r="45" spans="1:244" x14ac:dyDescent="0.25">
      <c r="CU45" s="3"/>
      <c r="DE45" s="36"/>
      <c r="DF45" s="40"/>
      <c r="DH45" s="39"/>
      <c r="DI45" s="39"/>
      <c r="DN45" s="36"/>
      <c r="DO45" s="36"/>
      <c r="HN45" s="35"/>
    </row>
    <row r="46" spans="1:244" x14ac:dyDescent="0.25">
      <c r="DF46" s="39"/>
      <c r="DN46" s="3"/>
      <c r="DO46" s="3"/>
      <c r="HN46" s="35"/>
    </row>
    <row r="47" spans="1:244" x14ac:dyDescent="0.25">
      <c r="DF47" s="39"/>
      <c r="HN47" s="35"/>
    </row>
    <row r="48" spans="1:244" x14ac:dyDescent="0.25">
      <c r="DF48" s="39"/>
      <c r="DN48" s="3"/>
      <c r="DO48" s="3"/>
      <c r="HN48" s="35"/>
      <c r="HS48" s="94"/>
      <c r="HT48" s="94"/>
      <c r="HU48" s="94"/>
      <c r="HV48" s="94"/>
      <c r="HW48" s="94"/>
      <c r="HX48" s="94"/>
      <c r="HY48" s="94"/>
      <c r="HZ48" s="94"/>
      <c r="IB48" s="94"/>
      <c r="IC48" s="94"/>
      <c r="ID48" s="94"/>
      <c r="IE48" s="94"/>
      <c r="IF48" s="94"/>
      <c r="IG48" s="94"/>
      <c r="IH48" s="94"/>
      <c r="II48" s="94"/>
    </row>
    <row r="49" spans="110:222" x14ac:dyDescent="0.25">
      <c r="DF49" s="40"/>
      <c r="HN49" s="35"/>
    </row>
    <row r="50" spans="110:222" x14ac:dyDescent="0.25">
      <c r="DF50" s="39"/>
      <c r="HN50" s="35"/>
    </row>
    <row r="51" spans="110:222" x14ac:dyDescent="0.25">
      <c r="DF51" s="40"/>
      <c r="HN51" s="35"/>
    </row>
    <row r="52" spans="110:222" x14ac:dyDescent="0.25">
      <c r="DF52" s="39"/>
      <c r="HN52" s="35"/>
    </row>
    <row r="53" spans="110:222" x14ac:dyDescent="0.25">
      <c r="DF53" s="39"/>
      <c r="DS53" s="51"/>
      <c r="HN53" s="35"/>
    </row>
    <row r="54" spans="110:222" x14ac:dyDescent="0.25">
      <c r="DF54" s="40"/>
    </row>
    <row r="55" spans="110:222" x14ac:dyDescent="0.25">
      <c r="HN55" s="35"/>
    </row>
    <row r="56" spans="110:222" x14ac:dyDescent="0.25">
      <c r="HN56" s="35"/>
    </row>
    <row r="57" spans="110:222" x14ac:dyDescent="0.25">
      <c r="DF57" s="38"/>
      <c r="HN57" s="35"/>
    </row>
    <row r="58" spans="110:222" x14ac:dyDescent="0.25">
      <c r="HN58" s="35"/>
    </row>
    <row r="59" spans="110:222" x14ac:dyDescent="0.25">
      <c r="HN59" s="35"/>
    </row>
    <row r="60" spans="110:222" x14ac:dyDescent="0.25">
      <c r="HN60" s="35"/>
    </row>
  </sheetData>
  <mergeCells count="27">
    <mergeCell ref="CA8:CA9"/>
    <mergeCell ref="BB8:BM8"/>
    <mergeCell ref="BO8:BZ8"/>
    <mergeCell ref="A8:A9"/>
    <mergeCell ref="N8:N9"/>
    <mergeCell ref="AA8:AA9"/>
    <mergeCell ref="AN8:AN9"/>
    <mergeCell ref="BA8:BA9"/>
    <mergeCell ref="B8:M8"/>
    <mergeCell ref="O8:Z8"/>
    <mergeCell ref="AB8:AM8"/>
    <mergeCell ref="AO8:AZ8"/>
    <mergeCell ref="BN8:BN9"/>
    <mergeCell ref="CB8:CM8"/>
    <mergeCell ref="CO8:CZ8"/>
    <mergeCell ref="DB8:DM8"/>
    <mergeCell ref="EO8:EZ8"/>
    <mergeCell ref="FB8:FM8"/>
    <mergeCell ref="CN8:CN9"/>
    <mergeCell ref="DO8:DZ8"/>
    <mergeCell ref="EB8:EM8"/>
    <mergeCell ref="IB8:II8"/>
    <mergeCell ref="HB8:HM8"/>
    <mergeCell ref="GB8:GM8"/>
    <mergeCell ref="GO8:GZ8"/>
    <mergeCell ref="FO8:FZ8"/>
    <mergeCell ref="HO8:HZ8"/>
  </mergeCells>
  <phoneticPr fontId="24" type="noConversion"/>
  <pageMargins left="0.7" right="0.7" top="0.75" bottom="0.75" header="0.3" footer="0.3"/>
  <pageSetup orientation="portrait" r:id="rId1"/>
  <ignoredErrors>
    <ignoredError sqref="DE13:DF13 AA37 BA29 BA10:BA13 BA21:BA27 BA32:BA33 BA37 GA36 FQ13:FZ13 BA15:BA19 FX36:FY37 GB13:GH13 FX15:FY30 FX32:FY33 GQ13 GT13 GY13:GZ13 HB13 HG13 HL13 HP13 HR13 HT13 CN28 HW13 HY13 HZ13 IB13:IC13" formulaRange="1"/>
    <ignoredError sqref="EA21:EA22 EA26 EA10:EA11 DN29 DN10:DN12 FA10:FA12 FA29 FA21:FA27 DN32:DN33 DN37 FN10:FN12 FN21:FN29 FN32:FN33 FN37 GA10:GA14 GA21:GA29 GA31:GA33 DN15:DN27 FA15:FA19 FN15:FN19 GA15:GA19 HA10:HA11 HA35 HA21 HA13 HN10:HN11 HN13 HN21:HN22 HN26 HN31 EN26:EN27 IA10:IA12 IA14:IA36" formula="1"/>
    <ignoredError sqref="GA30 GA20 HA14:HA19 HA31:HA34 HA22:HA29 HA12 HA20 HA30 EN28 IA13" formula="1" formulaRange="1"/>
  </ignoredErrors>
  <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Date xmlns="da566dee-5c5e-478d-8e96-7b2181072ff3">2016-06-14T20:45:21+00:00</PublishDate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A652422A42043A6AF819FBA41E659" ma:contentTypeVersion="3" ma:contentTypeDescription="Create a new document." ma:contentTypeScope="" ma:versionID="61938152a3a3e2623738f9c7b0e7f11a">
  <xsd:schema xmlns:xsd="http://www.w3.org/2001/XMLSchema" xmlns:xs="http://www.w3.org/2001/XMLSchema" xmlns:p="http://schemas.microsoft.com/office/2006/metadata/properties" xmlns:ns2="da566dee-5c5e-478d-8e96-7b2181072ff3" xmlns:ns3="0dfff056-397f-40d2-a3a0-6a7c80a2ca17" targetNamespace="http://schemas.microsoft.com/office/2006/metadata/properties" ma:root="true" ma:fieldsID="1073217f7dbfa99397b08a7bb95169c6" ns2:_="" ns3:_="">
    <xsd:import namespace="da566dee-5c5e-478d-8e96-7b2181072ff3"/>
    <xsd:import namespace="0dfff056-397f-40d2-a3a0-6a7c80a2ca17"/>
    <xsd:element name="properties">
      <xsd:complexType>
        <xsd:sequence>
          <xsd:element name="documentManagement">
            <xsd:complexType>
              <xsd:all>
                <xsd:element ref="ns2:PublishDate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566dee-5c5e-478d-8e96-7b2181072ff3" elementFormDefault="qualified">
    <xsd:import namespace="http://schemas.microsoft.com/office/2006/documentManagement/types"/>
    <xsd:import namespace="http://schemas.microsoft.com/office/infopath/2007/PartnerControls"/>
    <xsd:element name="PublishDate" ma:index="8" ma:displayName="PublishDate" ma:default="[today]" ma:format="DateOnly" ma:internalName="Publish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fff056-397f-40d2-a3a0-6a7c80a2ca1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2E1B57-5E49-4A34-8B1E-6974A556F5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070B0D-0393-45B6-A865-381631731275}">
  <ds:schemaRefs>
    <ds:schemaRef ds:uri="http://purl.org/dc/elements/1.1/"/>
    <ds:schemaRef ds:uri="http://schemas.microsoft.com/office/2006/metadata/properties"/>
    <ds:schemaRef ds:uri="da566dee-5c5e-478d-8e96-7b2181072ff3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0dfff056-397f-40d2-a3a0-6a7c80a2ca1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ACF6313-A1CE-4DDC-9EDF-E43C367C4F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566dee-5c5e-478d-8e96-7b2181072ff3"/>
    <ds:schemaRef ds:uri="0dfff056-397f-40d2-a3a0-6a7c80a2ca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Mensual</vt:lpstr>
    </vt:vector>
  </TitlesOfParts>
  <Company>Direccion General de Aduanas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Recaudaciones Mensuales DGA Según Impuestos Enero 2008 - Mayo 2016</dc:title>
  <dc:creator>Alina Rosalia Gonzalez Baez</dc:creator>
  <cp:lastModifiedBy>Maria Paula Pichardo Ovalle</cp:lastModifiedBy>
  <dcterms:created xsi:type="dcterms:W3CDTF">2015-04-16T18:31:48Z</dcterms:created>
  <dcterms:modified xsi:type="dcterms:W3CDTF">2026-09-14T21:39:06Z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0x010100B48A652422A42043A6AF819FBA41E659</vt:lpwstr>
  </property>
  <property fmtid="{D5CDD505-2E9C-101B-9397-08002B2CF9AE}" pid="3" name="Workbook id">
    <vt:lpwstr>1e192532-ac96-4165-9ae0-c346854149d9</vt:lpwstr>
  </property>
  <property fmtid="{D5CDD505-2E9C-101B-9397-08002B2CF9AE}" pid="4" name="Workbook type">
    <vt:lpwstr>Custom</vt:lpwstr>
  </property>
  <property fmtid="{D5CDD505-2E9C-101B-9397-08002B2CF9AE}" pid="5" name="Workbook version">
    <vt:lpwstr>Custom</vt:lpwstr>
  </property>
  <property fmtid="{D5CDD505-2E9C-101B-9397-08002B2CF9AE}" pid="6" name="MSIP_Label_7f2bcec3-c3a9-4868-9744-606b2001de26_Enabled">
    <vt:lpwstr>true</vt:lpwstr>
  </property>
  <property fmtid="{D5CDD505-2E9C-101B-9397-08002B2CF9AE}" pid="7" name="MSIP_Label_7f2bcec3-c3a9-4868-9744-606b2001de26_SetDate">
    <vt:lpwstr>2025-04-10T14:47:11Z</vt:lpwstr>
  </property>
  <property fmtid="{D5CDD505-2E9C-101B-9397-08002B2CF9AE}" pid="8" name="MSIP_Label_7f2bcec3-c3a9-4868-9744-606b2001de26_Method">
    <vt:lpwstr>Standard</vt:lpwstr>
  </property>
  <property fmtid="{D5CDD505-2E9C-101B-9397-08002B2CF9AE}" pid="9" name="MSIP_Label_7f2bcec3-c3a9-4868-9744-606b2001de26_Name">
    <vt:lpwstr>Informacion valiosa</vt:lpwstr>
  </property>
  <property fmtid="{D5CDD505-2E9C-101B-9397-08002B2CF9AE}" pid="10" name="MSIP_Label_7f2bcec3-c3a9-4868-9744-606b2001de26_SiteId">
    <vt:lpwstr>00983dbf-8138-4022-9021-e6a546c176e3</vt:lpwstr>
  </property>
  <property fmtid="{D5CDD505-2E9C-101B-9397-08002B2CF9AE}" pid="11" name="MSIP_Label_7f2bcec3-c3a9-4868-9744-606b2001de26_ActionId">
    <vt:lpwstr>efd9d804-132d-4c21-b35d-b81d410f69eb</vt:lpwstr>
  </property>
  <property fmtid="{D5CDD505-2E9C-101B-9397-08002B2CF9AE}" pid="12" name="MSIP_Label_7f2bcec3-c3a9-4868-9744-606b2001de26_ContentBits">
    <vt:lpwstr>0</vt:lpwstr>
  </property>
  <property fmtid="{D5CDD505-2E9C-101B-9397-08002B2CF9AE}" pid="13" name="MSIP_Label_7f2bcec3-c3a9-4868-9744-606b2001de26_Tag">
    <vt:lpwstr>10, 3, 0, 1</vt:lpwstr>
  </property>
</Properties>
</file>